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D:\01Iuliana\cod 170\2025\"/>
    </mc:Choice>
  </mc:AlternateContent>
  <xr:revisionPtr revIDLastSave="0" documentId="13_ncr:1_{CF9DB966-87C7-4106-B02E-FCCF3E3CFD3A}" xr6:coauthVersionLast="47" xr6:coauthVersionMax="47" xr10:uidLastSave="{00000000-0000-0000-0000-000000000000}"/>
  <workbookProtection workbookAlgorithmName="SHA-512" workbookHashValue="iqQhVedkzxCVmfbtKI+tmEdpNJySEpt2d85lXH62RpewtlrzS6uiGiNEFfPp4RVT1hmc7RL/y7LbfgYrrj9DPQ==" workbookSaltValue="onlDdemMO9LV4Xfz2DNwbA==" workbookSpinCount="100000" lockStructure="1"/>
  <bookViews>
    <workbookView xWindow="-120" yWindow="-120" windowWidth="29040" windowHeight="15840" firstSheet="1" activeTab="1" xr2:uid="{00000000-000D-0000-FFFF-FFFF00000000}"/>
  </bookViews>
  <sheets>
    <sheet name="Instructiuni" sheetId="5" state="hidden" r:id="rId1"/>
    <sheet name="Date generale" sheetId="4" r:id="rId2"/>
    <sheet name="Participant 1" sheetId="3" r:id="rId3"/>
    <sheet name="Participant 2" sheetId="9" r:id="rId4"/>
    <sheet name="Taxe participare" sheetId="10" r:id="rId5"/>
    <sheet name="Decont" sheetId="6" r:id="rId6"/>
    <sheet name="Calcule" sheetId="7" state="hidden" r:id="rId7"/>
    <sheet name="Liste" sheetId="8" state="hidden" r:id="rId8"/>
  </sheets>
  <definedNames>
    <definedName name="_xlnm._FilterDatabase" localSheetId="1" hidden="1">'Date generale'!$B$3:$C$26</definedName>
    <definedName name="_xlnm.Print_Area" localSheetId="1">'Date generale'!$A$1:$C$33</definedName>
    <definedName name="_xlnm.Print_Area" localSheetId="5">Decont!$A$2:$E$51</definedName>
    <definedName name="_xlnm.Print_Area" localSheetId="2">'Participant 1'!$A$1:$E$96</definedName>
    <definedName name="_xlnm.Print_Area" localSheetId="3">'Participant 2'!$A$1:$E$93</definedName>
    <definedName name="_xlnm.Print_Area" localSheetId="4">'Taxe participare'!$A$1:$D$35</definedName>
    <definedName name="_xlnm.Print_Titles" localSheetId="5">Decont!$2:$7</definedName>
    <definedName name="_xlnm.Print_Titles" localSheetId="2">'Participant 1'!$1:$4</definedName>
    <definedName name="_xlnm.Print_Titles" localSheetId="3">'Participant 2'!$1:$4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 i="4" l="1"/>
  <c r="D12" i="4" s="1"/>
  <c r="E11" i="4"/>
  <c r="D11" i="4" s="1"/>
  <c r="C38" i="6"/>
  <c r="C37" i="6"/>
  <c r="C65" i="3"/>
  <c r="B17" i="6"/>
  <c r="D40" i="6" l="1"/>
  <c r="B24" i="6"/>
  <c r="B15" i="6"/>
  <c r="C12" i="10"/>
  <c r="C14" i="10" s="1"/>
  <c r="B11" i="9"/>
  <c r="B11" i="3"/>
  <c r="B4" i="10" l="1"/>
  <c r="G50" i="3"/>
  <c r="G39" i="3"/>
  <c r="B28" i="10"/>
  <c r="B27" i="10"/>
  <c r="B26" i="10"/>
  <c r="A2" i="10"/>
  <c r="A1" i="10"/>
  <c r="F11" i="9" l="1"/>
  <c r="F11" i="3"/>
  <c r="E13" i="4"/>
  <c r="D13" i="4" s="1"/>
  <c r="E10" i="4"/>
  <c r="D10" i="4" s="1"/>
  <c r="D36" i="3" l="1"/>
  <c r="G36" i="3"/>
  <c r="F36" i="3" s="1"/>
  <c r="F50" i="3"/>
  <c r="G48" i="3" l="1"/>
  <c r="G47" i="3"/>
  <c r="E25" i="4"/>
  <c r="D25" i="4" s="1"/>
  <c r="E22" i="4"/>
  <c r="D22" i="4" s="1"/>
  <c r="E21" i="4"/>
  <c r="C21" i="10" l="1"/>
  <c r="C17" i="10"/>
  <c r="C7" i="10"/>
  <c r="B45" i="6"/>
  <c r="B44" i="6"/>
  <c r="C36" i="6"/>
  <c r="C39" i="6"/>
  <c r="C64" i="3"/>
  <c r="B19" i="6"/>
  <c r="B3" i="6"/>
  <c r="B5" i="6"/>
  <c r="B14" i="6"/>
  <c r="D14" i="6"/>
  <c r="D3" i="6" l="1"/>
  <c r="D32" i="6"/>
  <c r="D31" i="6"/>
  <c r="C6" i="9" l="1"/>
  <c r="A4" i="9" s="1"/>
  <c r="C6" i="3"/>
  <c r="A4" i="3" s="1"/>
  <c r="D13" i="6"/>
  <c r="D12" i="6"/>
  <c r="D10" i="6"/>
  <c r="D9" i="6"/>
  <c r="D7" i="6"/>
  <c r="D6" i="6"/>
  <c r="D5" i="6"/>
  <c r="B88" i="3"/>
  <c r="B88" i="9"/>
  <c r="C35" i="6"/>
  <c r="B46" i="6"/>
  <c r="E9" i="4"/>
  <c r="D9" i="4" s="1"/>
  <c r="B25" i="6"/>
  <c r="G30" i="9"/>
  <c r="F30" i="9" s="1"/>
  <c r="B13" i="6"/>
  <c r="B12" i="6"/>
  <c r="B11" i="6"/>
  <c r="D11" i="6"/>
  <c r="B10" i="6"/>
  <c r="B9" i="6"/>
  <c r="B7" i="6"/>
  <c r="B6" i="6"/>
  <c r="G33" i="3"/>
  <c r="F33" i="3" s="1"/>
  <c r="G32" i="3"/>
  <c r="F32" i="3" s="1"/>
  <c r="G31" i="3"/>
  <c r="F31" i="3" s="1"/>
  <c r="G30" i="3"/>
  <c r="F30" i="3" s="1"/>
  <c r="C4" i="7"/>
  <c r="C5" i="7" s="1"/>
  <c r="B87" i="3"/>
  <c r="B87" i="9"/>
  <c r="A2" i="9"/>
  <c r="A1" i="9"/>
  <c r="A2" i="3"/>
  <c r="A1" i="3"/>
  <c r="B18" i="6"/>
  <c r="C65" i="9"/>
  <c r="D65" i="9" s="1"/>
  <c r="G42" i="3"/>
  <c r="D42" i="3"/>
  <c r="G51" i="3"/>
  <c r="D51" i="3"/>
  <c r="E65" i="9"/>
  <c r="D50" i="9"/>
  <c r="D41" i="9"/>
  <c r="D42" i="9"/>
  <c r="G42" i="9"/>
  <c r="G51" i="9"/>
  <c r="D51" i="9"/>
  <c r="D36" i="9"/>
  <c r="D45" i="3"/>
  <c r="D13" i="7"/>
  <c r="D12" i="7"/>
  <c r="D11" i="7"/>
  <c r="D10" i="7"/>
  <c r="C13" i="7"/>
  <c r="C12" i="7"/>
  <c r="C11" i="7"/>
  <c r="C10" i="7"/>
  <c r="E34" i="7"/>
  <c r="E28" i="7"/>
  <c r="E26" i="7"/>
  <c r="E27" i="7"/>
  <c r="E30" i="7" s="1"/>
  <c r="D14" i="7"/>
  <c r="C14" i="7"/>
  <c r="F7" i="9"/>
  <c r="F7" i="3"/>
  <c r="D6" i="7"/>
  <c r="C6" i="7"/>
  <c r="C64" i="9"/>
  <c r="D64" i="9" s="1"/>
  <c r="C63" i="9"/>
  <c r="D61" i="9"/>
  <c r="D60" i="9"/>
  <c r="C57" i="9"/>
  <c r="D56" i="9"/>
  <c r="F56" i="9" s="1"/>
  <c r="D55" i="9"/>
  <c r="D54" i="9"/>
  <c r="D53" i="9"/>
  <c r="F53" i="9" s="1"/>
  <c r="G50" i="9"/>
  <c r="G49" i="9"/>
  <c r="D49" i="9"/>
  <c r="B49" i="9"/>
  <c r="G48" i="9"/>
  <c r="D48" i="9"/>
  <c r="G47" i="9"/>
  <c r="D47" i="9"/>
  <c r="B47" i="9"/>
  <c r="G46" i="9"/>
  <c r="F46" i="9" s="1"/>
  <c r="G45" i="9"/>
  <c r="D45" i="9"/>
  <c r="G44" i="9"/>
  <c r="F44" i="9" s="1"/>
  <c r="G41" i="9"/>
  <c r="G40" i="9"/>
  <c r="D40" i="9"/>
  <c r="B40" i="9"/>
  <c r="G39" i="9"/>
  <c r="D39" i="9"/>
  <c r="G38" i="9"/>
  <c r="D38" i="9"/>
  <c r="B38" i="9"/>
  <c r="G37" i="9"/>
  <c r="F37" i="9" s="1"/>
  <c r="G36" i="9"/>
  <c r="G35" i="9"/>
  <c r="F35" i="9" s="1"/>
  <c r="G33" i="9"/>
  <c r="F33" i="9" s="1"/>
  <c r="G32" i="9"/>
  <c r="F32" i="9" s="1"/>
  <c r="G31" i="9"/>
  <c r="F31" i="9" s="1"/>
  <c r="G28" i="9"/>
  <c r="F28" i="9" s="1"/>
  <c r="G27" i="9"/>
  <c r="F27" i="9" s="1"/>
  <c r="G26" i="9"/>
  <c r="F26" i="9" s="1"/>
  <c r="G25" i="9"/>
  <c r="F25" i="9" s="1"/>
  <c r="G23" i="9"/>
  <c r="F23" i="9" s="1"/>
  <c r="G22" i="9"/>
  <c r="F22" i="9" s="1"/>
  <c r="G20" i="9"/>
  <c r="F20" i="9" s="1"/>
  <c r="F14" i="9"/>
  <c r="F13" i="9"/>
  <c r="A7" i="9"/>
  <c r="A8" i="9" s="1"/>
  <c r="A9" i="9" s="1"/>
  <c r="A10" i="9" s="1"/>
  <c r="A11" i="9" s="1"/>
  <c r="A13" i="9" s="1"/>
  <c r="A14" i="9" s="1"/>
  <c r="A16" i="9" s="1"/>
  <c r="A17" i="9" s="1"/>
  <c r="A18" i="9" s="1"/>
  <c r="A20" i="9" s="1"/>
  <c r="A22" i="9" s="1"/>
  <c r="A23" i="9" s="1"/>
  <c r="A25" i="9" s="1"/>
  <c r="A26" i="9" s="1"/>
  <c r="A27" i="9" s="1"/>
  <c r="A28" i="9" s="1"/>
  <c r="A30" i="9" s="1"/>
  <c r="A31" i="9" s="1"/>
  <c r="A32" i="9" s="1"/>
  <c r="A33" i="9" s="1"/>
  <c r="A35" i="9" s="1"/>
  <c r="A36" i="9" s="1"/>
  <c r="A37" i="9" s="1"/>
  <c r="A38" i="9" s="1"/>
  <c r="A39" i="9" s="1"/>
  <c r="A40" i="9" s="1"/>
  <c r="A41" i="9" s="1"/>
  <c r="D40" i="3"/>
  <c r="D39" i="3"/>
  <c r="F39" i="3" s="1"/>
  <c r="D38" i="3"/>
  <c r="D49" i="3"/>
  <c r="D48" i="3"/>
  <c r="F48" i="3" s="1"/>
  <c r="D47" i="3"/>
  <c r="F47" i="3" s="1"/>
  <c r="D3" i="7"/>
  <c r="E3" i="7" s="1"/>
  <c r="D2" i="7"/>
  <c r="E2" i="7" s="1"/>
  <c r="F13" i="3"/>
  <c r="F14" i="3"/>
  <c r="D61" i="3"/>
  <c r="D60" i="3"/>
  <c r="D56" i="3"/>
  <c r="F56" i="3" s="1"/>
  <c r="D55" i="3"/>
  <c r="D54" i="3"/>
  <c r="D53" i="3"/>
  <c r="F53" i="3" s="1"/>
  <c r="E20" i="4"/>
  <c r="D20" i="4" s="1"/>
  <c r="E19" i="4"/>
  <c r="D19" i="4" s="1"/>
  <c r="D64" i="3"/>
  <c r="C63" i="3"/>
  <c r="D63" i="3" s="1"/>
  <c r="G40" i="3"/>
  <c r="G49" i="3"/>
  <c r="G46" i="3"/>
  <c r="F46" i="3" s="1"/>
  <c r="B49" i="3"/>
  <c r="B47" i="3"/>
  <c r="G38" i="3"/>
  <c r="B40" i="3"/>
  <c r="B38" i="3"/>
  <c r="G37" i="3"/>
  <c r="F37" i="3" s="1"/>
  <c r="G45" i="3"/>
  <c r="G23" i="3"/>
  <c r="F23" i="3" s="1"/>
  <c r="G22" i="3"/>
  <c r="F22" i="3" s="1"/>
  <c r="G44" i="3"/>
  <c r="F44" i="3" s="1"/>
  <c r="G41" i="3"/>
  <c r="F41" i="3" s="1"/>
  <c r="G35" i="3"/>
  <c r="F35" i="3" s="1"/>
  <c r="G28" i="3"/>
  <c r="F28" i="3" s="1"/>
  <c r="G27" i="3"/>
  <c r="F27" i="3" s="1"/>
  <c r="G26" i="3"/>
  <c r="F26" i="3" s="1"/>
  <c r="G25" i="3"/>
  <c r="F25" i="3" s="1"/>
  <c r="G20" i="3"/>
  <c r="F20" i="3" s="1"/>
  <c r="A7" i="3"/>
  <c r="A8" i="3" s="1"/>
  <c r="A9" i="3" s="1"/>
  <c r="A10" i="3" s="1"/>
  <c r="A11" i="3" s="1"/>
  <c r="A13" i="3" s="1"/>
  <c r="C57" i="3"/>
  <c r="E16" i="4"/>
  <c r="D16" i="4" s="1"/>
  <c r="E15" i="4"/>
  <c r="D15" i="4" s="1"/>
  <c r="E8" i="4"/>
  <c r="D8" i="4" s="1"/>
  <c r="E7" i="4"/>
  <c r="D7" i="4" s="1"/>
  <c r="E6" i="4"/>
  <c r="D6" i="4" s="1"/>
  <c r="E5" i="4"/>
  <c r="D5" i="4" s="1"/>
  <c r="E3" i="4"/>
  <c r="D3" i="4" s="1"/>
  <c r="B13" i="7"/>
  <c r="B12" i="7"/>
  <c r="E27" i="4"/>
  <c r="D27" i="4" s="1"/>
  <c r="E18" i="4"/>
  <c r="D18" i="4" s="1"/>
  <c r="D21" i="4"/>
  <c r="E23" i="4"/>
  <c r="D23" i="4" s="1"/>
  <c r="E24" i="4"/>
  <c r="D24" i="4" s="1"/>
  <c r="B11" i="7"/>
  <c r="B10" i="7"/>
  <c r="D88" i="9" l="1"/>
  <c r="D88" i="3"/>
  <c r="C52" i="3"/>
  <c r="F36" i="9"/>
  <c r="F45" i="3"/>
  <c r="F45" i="9"/>
  <c r="F51" i="3"/>
  <c r="F38" i="3"/>
  <c r="F49" i="3"/>
  <c r="E35" i="7"/>
  <c r="F47" i="9"/>
  <c r="F38" i="9"/>
  <c r="C7" i="7"/>
  <c r="C58" i="9"/>
  <c r="C8" i="7"/>
  <c r="E29" i="7"/>
  <c r="F42" i="9"/>
  <c r="F49" i="9"/>
  <c r="F48" i="9"/>
  <c r="F51" i="9"/>
  <c r="A42" i="9"/>
  <c r="A44" i="9" s="1"/>
  <c r="A45" i="9" s="1"/>
  <c r="A46" i="9" s="1"/>
  <c r="A47" i="9" s="1"/>
  <c r="A48" i="9" s="1"/>
  <c r="A49" i="9" s="1"/>
  <c r="A50" i="9" s="1"/>
  <c r="A51" i="9" s="1"/>
  <c r="F42" i="3"/>
  <c r="D4" i="7"/>
  <c r="D8" i="7" s="1"/>
  <c r="F65" i="9"/>
  <c r="D65" i="3"/>
  <c r="F65" i="3" s="1"/>
  <c r="F41" i="9"/>
  <c r="D23" i="7"/>
  <c r="F50" i="9"/>
  <c r="D26" i="7"/>
  <c r="D29" i="7" s="1"/>
  <c r="D2" i="4"/>
  <c r="D17" i="7"/>
  <c r="D18" i="7" s="1"/>
  <c r="D27" i="7"/>
  <c r="D30" i="7" s="1"/>
  <c r="D21" i="7"/>
  <c r="F17" i="9" s="1"/>
  <c r="D15" i="7"/>
  <c r="D16" i="7" s="1"/>
  <c r="F18" i="9" s="1"/>
  <c r="D34" i="7"/>
  <c r="D35" i="7" s="1"/>
  <c r="D20" i="7"/>
  <c r="F16" i="9" s="1"/>
  <c r="D28" i="7"/>
  <c r="F39" i="9"/>
  <c r="F40" i="9"/>
  <c r="D63" i="9"/>
  <c r="F63" i="9" s="1"/>
  <c r="C62" i="9"/>
  <c r="C66" i="9" s="1"/>
  <c r="F64" i="9"/>
  <c r="F63" i="3"/>
  <c r="F40" i="3"/>
  <c r="F64" i="3"/>
  <c r="C62" i="3"/>
  <c r="C17" i="7"/>
  <c r="C18" i="7" s="1"/>
  <c r="C27" i="7"/>
  <c r="C30" i="7" s="1"/>
  <c r="C26" i="7"/>
  <c r="C28" i="7"/>
  <c r="C34" i="7"/>
  <c r="C35" i="7" s="1"/>
  <c r="C36" i="7" s="1"/>
  <c r="C23" i="7"/>
  <c r="C15" i="7"/>
  <c r="C16" i="7" s="1"/>
  <c r="F18" i="3" s="1"/>
  <c r="C20" i="7"/>
  <c r="C21" i="7"/>
  <c r="A14" i="3"/>
  <c r="C29" i="7" l="1"/>
  <c r="G29" i="7"/>
  <c r="G30" i="7"/>
  <c r="A53" i="9"/>
  <c r="A54" i="9" s="1"/>
  <c r="A55" i="9" s="1"/>
  <c r="A56" i="9" s="1"/>
  <c r="A57" i="9" s="1"/>
  <c r="A58" i="9" s="1"/>
  <c r="A60" i="9" s="1"/>
  <c r="A61" i="9" s="1"/>
  <c r="A62" i="9" s="1"/>
  <c r="A63" i="9" s="1"/>
  <c r="A64" i="9" s="1"/>
  <c r="A65" i="9" s="1"/>
  <c r="A66" i="9" s="1"/>
  <c r="A67" i="9" s="1"/>
  <c r="D36" i="7"/>
  <c r="F61" i="9" s="1"/>
  <c r="B57" i="9"/>
  <c r="B57" i="3"/>
  <c r="C8" i="9"/>
  <c r="C8" i="3"/>
  <c r="C10" i="3"/>
  <c r="C19" i="7" s="1"/>
  <c r="C10" i="9"/>
  <c r="D19" i="7" s="1"/>
  <c r="D22" i="7" s="1"/>
  <c r="F54" i="9" s="1"/>
  <c r="C9" i="9"/>
  <c r="C9" i="3"/>
  <c r="C58" i="3"/>
  <c r="C52" i="9"/>
  <c r="D5" i="7"/>
  <c r="E5" i="7" s="1"/>
  <c r="E4" i="7"/>
  <c r="D7" i="7"/>
  <c r="E32" i="7"/>
  <c r="C67" i="9"/>
  <c r="D32" i="7"/>
  <c r="D33" i="7" s="1"/>
  <c r="F60" i="9" s="1"/>
  <c r="F17" i="3"/>
  <c r="F16" i="3"/>
  <c r="D62" i="9"/>
  <c r="F62" i="9" s="1"/>
  <c r="C66" i="3"/>
  <c r="D62" i="3"/>
  <c r="F62" i="3" s="1"/>
  <c r="A16" i="3"/>
  <c r="A17" i="3" s="1"/>
  <c r="A18" i="3" s="1"/>
  <c r="A20" i="3" s="1"/>
  <c r="B7" i="7" l="1"/>
  <c r="C24" i="7"/>
  <c r="C25" i="7" s="1"/>
  <c r="F55" i="3" s="1"/>
  <c r="D24" i="7"/>
  <c r="D25" i="7" s="1"/>
  <c r="F55" i="9" s="1"/>
  <c r="F4" i="9" s="1"/>
  <c r="E85" i="9" s="1"/>
  <c r="B10" i="9"/>
  <c r="B9" i="9"/>
  <c r="B10" i="3"/>
  <c r="B9" i="3"/>
  <c r="C67" i="3"/>
  <c r="B21" i="6" s="1"/>
  <c r="B8" i="7"/>
  <c r="D37" i="7"/>
  <c r="D38" i="7" s="1"/>
  <c r="C22" i="7"/>
  <c r="F54" i="3" s="1"/>
  <c r="F61" i="3"/>
  <c r="C32" i="7"/>
  <c r="A22" i="3"/>
  <c r="A23" i="3" s="1"/>
  <c r="A25" i="3" s="1"/>
  <c r="A26" i="3" s="1"/>
  <c r="A27" i="3" s="1"/>
  <c r="A28" i="3" s="1"/>
  <c r="A30" i="3" s="1"/>
  <c r="A31" i="3" s="1"/>
  <c r="A32" i="3" s="1"/>
  <c r="A33" i="3" s="1"/>
  <c r="A35" i="3" s="1"/>
  <c r="A36" i="3" s="1"/>
  <c r="C40" i="6" l="1"/>
  <c r="F40" i="6"/>
  <c r="F2" i="6" s="1"/>
  <c r="F4" i="3"/>
  <c r="E85" i="3" s="1"/>
  <c r="C37" i="7"/>
  <c r="C38" i="7" s="1"/>
  <c r="C33" i="7"/>
  <c r="A37" i="3"/>
  <c r="A38" i="3" s="1"/>
  <c r="A39" i="3" s="1"/>
  <c r="A40" i="3" s="1"/>
  <c r="A41" i="3" s="1"/>
  <c r="A42" i="3" l="1"/>
  <c r="A44" i="3" s="1"/>
  <c r="A45" i="3" s="1"/>
  <c r="A46" i="3" s="1"/>
  <c r="A47" i="3" s="1"/>
  <c r="A48" i="3" s="1"/>
  <c r="A49" i="3" s="1"/>
  <c r="A50" i="3" s="1"/>
  <c r="F60" i="3"/>
  <c r="A51" i="3" l="1"/>
  <c r="A53" i="3" l="1"/>
  <c r="A54" i="3" s="1"/>
  <c r="A55" i="3" s="1"/>
  <c r="A56" i="3" s="1"/>
  <c r="A57" i="3" s="1"/>
  <c r="A58" i="3" s="1"/>
  <c r="A60" i="3" s="1"/>
  <c r="A61" i="3" s="1"/>
  <c r="A62" i="3" s="1"/>
  <c r="A63" i="3" s="1"/>
  <c r="A64" i="3" s="1"/>
  <c r="A65" i="3" s="1"/>
  <c r="A66" i="3" s="1"/>
  <c r="A67"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Nicolaie Burghelea</author>
  </authors>
  <commentList>
    <comment ref="B3" authorId="0" shapeId="0" xr:uid="{1F785A03-8968-4E19-9D28-6BD5E27250FB}">
      <text>
        <r>
          <rPr>
            <b/>
            <sz val="9"/>
            <color indexed="81"/>
            <rFont val="Segoe UI"/>
            <family val="2"/>
          </rPr>
          <t>Format dată:
 zz/ll/aaaa
Exemplu de completare: 
nr. 12345 din 22/03/2024</t>
        </r>
      </text>
    </comment>
    <comment ref="B20" authorId="0" shapeId="0" xr:uid="{B958AA9A-AC21-4DFF-B841-58C79ACEA753}">
      <text>
        <r>
          <rPr>
            <b/>
            <sz val="9"/>
            <color indexed="81"/>
            <rFont val="Segoe UI"/>
            <family val="2"/>
          </rPr>
          <t>Format 
zz/ll/aaaa-zz/ll/aaaa</t>
        </r>
      </text>
    </comment>
    <comment ref="B24" authorId="0" shapeId="0" xr:uid="{B69B8D77-27FC-4C24-A1D1-CFCDD29B15B6}">
      <text>
        <r>
          <rPr>
            <b/>
            <sz val="9"/>
            <color indexed="81"/>
            <rFont val="Segoe UI"/>
            <family val="2"/>
          </rPr>
          <t>Localitatea în care s-a defășurat activitatea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Nicolaie Burghelea</author>
    <author>Cristina Nelia Negru</author>
  </authors>
  <commentList>
    <comment ref="B7" authorId="0" shapeId="0" xr:uid="{0CC3F58C-4A69-4587-A4C7-66BA01E8CDE2}">
      <text>
        <r>
          <rPr>
            <b/>
            <sz val="9"/>
            <color indexed="81"/>
            <rFont val="Segoe UI"/>
            <family val="2"/>
          </rPr>
          <t>Categorie participant conf. HG 518/1995</t>
        </r>
      </text>
    </comment>
    <comment ref="B8" authorId="0" shapeId="0" xr:uid="{244094BF-0523-4DA1-ACA7-39ABC8F976D1}">
      <text>
        <r>
          <rPr>
            <b/>
            <sz val="9"/>
            <color indexed="81"/>
            <rFont val="Segoe UI"/>
            <family val="2"/>
          </rPr>
          <t>conf. Anexa HG nr. 518/1995</t>
        </r>
      </text>
    </comment>
    <comment ref="B9" authorId="0" shapeId="0" xr:uid="{529B5055-53B1-4B7E-A413-2F4E6BCD9EF9}">
      <text>
        <r>
          <rPr>
            <b/>
            <sz val="9"/>
            <color indexed="81"/>
            <rFont val="Segoe UI"/>
            <family val="2"/>
          </rPr>
          <t>Conform Anexa HG nr. 518/1995</t>
        </r>
      </text>
    </comment>
    <comment ref="B10" authorId="0" shapeId="0" xr:uid="{D17415F5-1E32-4116-80D0-65E8E24F6697}">
      <text>
        <r>
          <rPr>
            <b/>
            <sz val="9"/>
            <color indexed="81"/>
            <rFont val="Segoe UI"/>
            <family val="2"/>
          </rPr>
          <t>Conform Anexa HG nr. 518/1995</t>
        </r>
      </text>
    </comment>
    <comment ref="B11" authorId="0" shapeId="0" xr:uid="{80C42311-0ACE-4456-9646-90157AFAD16F}">
      <text>
        <r>
          <rPr>
            <b/>
            <sz val="9"/>
            <color indexed="81"/>
            <rFont val="Segoe UI"/>
            <family val="2"/>
          </rPr>
          <t>Curs valutar comunicat de BNR în ziua lucrătoare anterioară datei depunerii decontului la organizația participantă</t>
        </r>
      </text>
    </comment>
    <comment ref="B13" authorId="0" shapeId="0" xr:uid="{31D70360-B693-4BF9-800E-6649C70D79CC}">
      <text>
        <r>
          <rPr>
            <b/>
            <sz val="9"/>
            <color indexed="81"/>
            <rFont val="Segoe UI"/>
            <family val="2"/>
          </rPr>
          <t xml:space="preserve">Corelat cu documentele justificative (ordin deplasare, etc.)
Format zz/ll/yyyy oo:mm
(zi/luna/an ora:minute)
</t>
        </r>
      </text>
    </comment>
    <comment ref="B14" authorId="0" shapeId="0" xr:uid="{EFAF30D8-429E-4A25-BE64-2E8C2F9C8725}">
      <text>
        <r>
          <rPr>
            <b/>
            <sz val="9"/>
            <color indexed="81"/>
            <rFont val="Segoe UI"/>
            <family val="2"/>
          </rPr>
          <t>Corelat cu documentele justificative
Format zz/ll/yyyy oo:mm
(zi/luna/an ora:minute)</t>
        </r>
      </text>
    </comment>
    <comment ref="B16" authorId="1" shapeId="0" xr:uid="{3FD11BDB-8FED-434E-930F-02F964E8E0C4}">
      <text>
        <r>
          <rPr>
            <b/>
            <sz val="9"/>
            <color indexed="81"/>
            <rFont val="Tahoma"/>
            <family val="2"/>
          </rPr>
          <t>- conform documente justificative 
(Data și ora decolării, conform boarding pass - pentru avion sau conform mențiunii/precizării persoanei delegate în Ordin deplasare/Decont/ alt document justificatv, după caz.) 
- format zz/ll/yyyy oo:mm
(zi/luna/an ora:minut)</t>
        </r>
        <r>
          <rPr>
            <sz val="9"/>
            <color indexed="81"/>
            <rFont val="Tahoma"/>
            <family val="2"/>
          </rPr>
          <t xml:space="preserve">
</t>
        </r>
      </text>
    </comment>
    <comment ref="B17" authorId="0" shapeId="0" xr:uid="{1109810A-9ED6-4CA4-8F90-E03A3B0BD0DF}">
      <text>
        <r>
          <rPr>
            <b/>
            <sz val="9"/>
            <color indexed="81"/>
            <rFont val="Segoe UI"/>
            <family val="2"/>
          </rPr>
          <t>idem pct. anterior</t>
        </r>
      </text>
    </comment>
    <comment ref="B18" authorId="1" shapeId="0" xr:uid="{0C378A05-666C-4177-888D-C07AE0885EFE}">
      <text>
        <r>
          <rPr>
            <b/>
            <sz val="9"/>
            <color indexed="81"/>
            <rFont val="Tahoma"/>
            <family val="2"/>
          </rPr>
          <t xml:space="preserve">Data depunerii decontului la organizația participantă, la întoarcerea din deplasare 
(anterioară transmiterii documentelor la ADR Nord-Est, pentru decontare)
Pentru depunerea decontului în aceeași zi cu data întoarcerii din delegație utilizați formatul cu inclusiv ora și minutul
Format zi/lună/an (zz/ll/aaaa)
</t>
        </r>
      </text>
    </comment>
    <comment ref="B20" authorId="0" shapeId="0" xr:uid="{862CEF64-4CC2-4BB8-932D-796677AF670C}">
      <text>
        <r>
          <rPr>
            <b/>
            <sz val="9"/>
            <color indexed="81"/>
            <rFont val="Segoe UI"/>
            <family val="2"/>
          </rPr>
          <t>Nu include transportul la și de la aeroport (dacă este cazul), menționat distinct, mai jos.</t>
        </r>
      </text>
    </comment>
    <comment ref="B36" authorId="0" shapeId="0" xr:uid="{F2299C81-B06B-4577-9623-31BF8FE97E31}">
      <text>
        <r>
          <rPr>
            <b/>
            <sz val="9"/>
            <color indexed="81"/>
            <rFont val="Segoe UI"/>
            <family val="2"/>
          </rPr>
          <t>conform www.distanta.ro
(Distanța rutieră, în Km, parcursă către aeroportul de plecare)</t>
        </r>
      </text>
    </comment>
    <comment ref="B38" authorId="0" shapeId="0" xr:uid="{118DD99F-9215-479D-BDE4-FBCA353B0E6F}">
      <text>
        <r>
          <rPr>
            <b/>
            <sz val="9"/>
            <color indexed="81"/>
            <rFont val="Segoe UI"/>
            <family val="2"/>
          </rPr>
          <t>Pentru energie electrică: consumul WLTP în kW/h, conform specificaților tehnice date de producător (carte tehnică)
Pentru benzină/motorină: 7,5 litri/100Km</t>
        </r>
      </text>
    </comment>
    <comment ref="B45" authorId="0" shapeId="0" xr:uid="{1E92CD03-B6BC-402F-8E33-959868E0A16F}">
      <text>
        <r>
          <rPr>
            <b/>
            <sz val="9"/>
            <color indexed="81"/>
            <rFont val="Segoe UI"/>
            <family val="2"/>
          </rPr>
          <t>conform www.distanta.ro
(Distanța rutieră, în Km, parcursă de la aeroportul de sosire, la întoarcere)</t>
        </r>
      </text>
    </comment>
    <comment ref="B47" authorId="0" shapeId="0" xr:uid="{14805A6E-3496-45B8-A0E6-A24EA3E93938}">
      <text>
        <r>
          <rPr>
            <b/>
            <sz val="9"/>
            <color indexed="81"/>
            <rFont val="Segoe UI"/>
            <family val="2"/>
          </rPr>
          <t>Pentru energie electrică: consumul WLTP în kW/h, conform specificaților tehnice date de producător
Pentru benzină/motorină: 7,5 litri/100Km</t>
        </r>
      </text>
    </comment>
    <comment ref="B56" authorId="0" shapeId="0" xr:uid="{F206B557-4FAF-4FD0-A715-3F85E9DBD809}">
      <text>
        <r>
          <rPr>
            <b/>
            <sz val="9"/>
            <color indexed="81"/>
            <rFont val="Segoe UI"/>
            <family val="2"/>
          </rPr>
          <t>Echivalent în valuta de decontare, dacă este cazul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Nicolaie Burghelea</author>
    <author>Cristina Nelia Negru</author>
  </authors>
  <commentList>
    <comment ref="B7" authorId="0" shapeId="0" xr:uid="{D162E9DD-FDE1-48A9-8910-FDA4681E6C14}">
      <text>
        <r>
          <rPr>
            <b/>
            <sz val="9"/>
            <color indexed="81"/>
            <rFont val="Segoe UI"/>
            <family val="2"/>
          </rPr>
          <t>Categorie participant conf. HG 518/1995</t>
        </r>
      </text>
    </comment>
    <comment ref="B8" authorId="0" shapeId="0" xr:uid="{7DBB84DE-CE9D-489F-B69C-841C228F6243}">
      <text>
        <r>
          <rPr>
            <b/>
            <sz val="9"/>
            <color indexed="81"/>
            <rFont val="Segoe UI"/>
            <family val="2"/>
          </rPr>
          <t>conf. Anexa HG nr. 518/1995</t>
        </r>
      </text>
    </comment>
    <comment ref="B9" authorId="0" shapeId="0" xr:uid="{E9083F48-761F-495B-9132-36EABAA53F43}">
      <text>
        <r>
          <rPr>
            <b/>
            <sz val="9"/>
            <color indexed="81"/>
            <rFont val="Segoe UI"/>
            <family val="2"/>
          </rPr>
          <t>Conform Anexa HG nr. 518/1995</t>
        </r>
      </text>
    </comment>
    <comment ref="B10" authorId="0" shapeId="0" xr:uid="{41CA5C30-B880-4DA8-B23E-1E49D8C1C1DC}">
      <text>
        <r>
          <rPr>
            <b/>
            <sz val="9"/>
            <color indexed="81"/>
            <rFont val="Segoe UI"/>
            <family val="2"/>
          </rPr>
          <t>Conform Anexa HG nr. 518/1995</t>
        </r>
      </text>
    </comment>
    <comment ref="B11" authorId="0" shapeId="0" xr:uid="{56A21157-CB96-4B84-A522-DA4F950F2BDA}">
      <text>
        <r>
          <rPr>
            <b/>
            <sz val="9"/>
            <color indexed="81"/>
            <rFont val="Segoe UI"/>
            <family val="2"/>
          </rPr>
          <t>Curs valutar comunicat de BNR în ziua lucrătoare anterioară datei depunerii decontului la organizația participantă</t>
        </r>
      </text>
    </comment>
    <comment ref="B13" authorId="0" shapeId="0" xr:uid="{85F293EC-AD47-4035-B752-2B851CA5618C}">
      <text>
        <r>
          <rPr>
            <b/>
            <sz val="9"/>
            <color indexed="81"/>
            <rFont val="Segoe UI"/>
            <family val="2"/>
          </rPr>
          <t xml:space="preserve">Corelat cu documentele justificative (ordin deplasare, etc.)
Format zz/ll/yyyy oo:mm
(zi/luna/an ora:minute)
</t>
        </r>
      </text>
    </comment>
    <comment ref="B14" authorId="0" shapeId="0" xr:uid="{ADBCE2A1-26F6-4586-A75B-CBEB7BACE101}">
      <text>
        <r>
          <rPr>
            <b/>
            <sz val="9"/>
            <color indexed="81"/>
            <rFont val="Segoe UI"/>
            <family val="2"/>
          </rPr>
          <t>Corelat cu documentele justificative
(ordin de deplasare, etc.)
Format zz/ll/yyyy oo:mm
(zi/luna/an ora:minute)</t>
        </r>
      </text>
    </comment>
    <comment ref="B16" authorId="1" shapeId="0" xr:uid="{1CA3510D-9536-44FD-A7ED-F96C604AC76E}">
      <text>
        <r>
          <rPr>
            <b/>
            <sz val="9"/>
            <color indexed="81"/>
            <rFont val="Tahoma"/>
            <family val="2"/>
          </rPr>
          <t>- conform documente justificative 
(Data și ora decolării, conform boarding pass - pentru avion sau conform mențiunii/precizării persoanei delegate în Ordin deplasare/Decont/ alt document justificatv, după caz.) 
- format zz/ll/yyyy oo:mm
(zi/luna/an ora/minut)</t>
        </r>
        <r>
          <rPr>
            <sz val="9"/>
            <color indexed="81"/>
            <rFont val="Tahoma"/>
            <family val="2"/>
          </rPr>
          <t xml:space="preserve">
</t>
        </r>
      </text>
    </comment>
    <comment ref="B17" authorId="0" shapeId="0" xr:uid="{1425B7E5-EBA5-4E1A-B19D-EA838D4B498A}">
      <text>
        <r>
          <rPr>
            <b/>
            <sz val="9"/>
            <color indexed="81"/>
            <rFont val="Segoe UI"/>
            <family val="2"/>
          </rPr>
          <t>idem pct. anterior</t>
        </r>
      </text>
    </comment>
    <comment ref="B18" authorId="1" shapeId="0" xr:uid="{60A74E90-F3A2-4646-94F5-4606C06D5823}">
      <text>
        <r>
          <rPr>
            <b/>
            <sz val="9"/>
            <color indexed="81"/>
            <rFont val="Tahoma"/>
            <family val="2"/>
          </rPr>
          <t>Data depunerii decontului la organizația participantă, la întoarcerea din deplasare 
(anterioară transmiterii documentelor la ADR Nord-Est, pentru decontare)
Pentru depunerea decontului în aceeași zi cu data întoarcerii din delegație utilizați formatul cu inclusiv ora și minutul
Format zi/lună/an (zz/ll/aaaa)</t>
        </r>
      </text>
    </comment>
    <comment ref="B20" authorId="0" shapeId="0" xr:uid="{064744AD-0901-4059-942C-0342709BE85F}">
      <text>
        <r>
          <rPr>
            <b/>
            <sz val="9"/>
            <color indexed="81"/>
            <rFont val="Segoe UI"/>
            <family val="2"/>
          </rPr>
          <t>Nu include transportul la și de la aeroport (dacă este cazul), menționat distinct, mai jos.</t>
        </r>
      </text>
    </comment>
    <comment ref="B36" authorId="0" shapeId="0" xr:uid="{6DE637ED-E79C-488E-A531-8D05F6F1EB17}">
      <text>
        <r>
          <rPr>
            <b/>
            <sz val="9"/>
            <color indexed="81"/>
            <rFont val="Segoe UI"/>
            <family val="2"/>
          </rPr>
          <t>conform www.distanta.ro
(Distanța rutieră, în Km, parcursă către aeroportul de plecare)</t>
        </r>
      </text>
    </comment>
    <comment ref="B38" authorId="0" shapeId="0" xr:uid="{69FEA4E4-67E8-42CA-AEC3-8D5B24D89466}">
      <text>
        <r>
          <rPr>
            <b/>
            <sz val="9"/>
            <color indexed="81"/>
            <rFont val="Segoe UI"/>
            <family val="2"/>
          </rPr>
          <t>Pentru energie electrică: consumul WLTP în kW/h, conform specificaților tehnice date de producător (carte tehnică)
Pentru benzină/motorină: 7,5 litri/100Km</t>
        </r>
      </text>
    </comment>
    <comment ref="B45" authorId="0" shapeId="0" xr:uid="{426F09F3-17DC-4278-9E5A-593AC78E80DE}">
      <text>
        <r>
          <rPr>
            <b/>
            <sz val="9"/>
            <color indexed="81"/>
            <rFont val="Segoe UI"/>
            <family val="2"/>
          </rPr>
          <t>conform www.distanta.ro
(Distanța rutieră, în Km, parcursă de la aeroportul de sosire, la întoarcere)</t>
        </r>
      </text>
    </comment>
    <comment ref="B47" authorId="0" shapeId="0" xr:uid="{7B5095E5-81AE-4843-8876-E5D9B1172E85}">
      <text>
        <r>
          <rPr>
            <b/>
            <sz val="9"/>
            <color indexed="81"/>
            <rFont val="Segoe UI"/>
            <family val="2"/>
          </rPr>
          <t>Pentru energie electrică: consumul WLTP în kW/h, conform specificaților tehnice date de producător
Pentru benzină/motorină: 7,5 litri/100Km</t>
        </r>
      </text>
    </comment>
    <comment ref="B56" authorId="0" shapeId="0" xr:uid="{A8D9C37E-B1E5-4A89-B366-33700061A1CE}">
      <text>
        <r>
          <rPr>
            <b/>
            <sz val="9"/>
            <color indexed="81"/>
            <rFont val="Segoe UI"/>
            <family val="2"/>
          </rPr>
          <t>Echivalent în valuta de decontare, dacă este cazul</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Cristina Nelia Negru</author>
  </authors>
  <commentList>
    <comment ref="B11" authorId="0" shapeId="0" xr:uid="{93FDE613-7A51-43BE-8C60-A4785706BFC1}">
      <text>
        <r>
          <rPr>
            <b/>
            <sz val="9"/>
            <color indexed="81"/>
            <rFont val="Tahoma"/>
            <family val="2"/>
          </rPr>
          <t>Cristina Nelia Negru:</t>
        </r>
        <r>
          <rPr>
            <sz val="9"/>
            <color indexed="81"/>
            <rFont val="Tahoma"/>
            <family val="2"/>
          </rPr>
          <t xml:space="preserve">
se va folosi cursul de schimb comunicat de BNR în ultima zi lucrătoare precedentă datei plății facturii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Nicolaie Burghelea</author>
  </authors>
  <commentList>
    <comment ref="B18" authorId="0" shapeId="0" xr:uid="{1A76BB2F-7768-4095-B57A-0F674FA6FCBF}">
      <text>
        <r>
          <rPr>
            <b/>
            <sz val="9"/>
            <color indexed="81"/>
            <rFont val="Segoe UI"/>
            <family val="2"/>
          </rPr>
          <t>Număr rotunjit în sus, pe baza căruia este caclulat dreptul la diurnă (externă)</t>
        </r>
      </text>
    </comment>
  </commentList>
</comments>
</file>

<file path=xl/sharedStrings.xml><?xml version="1.0" encoding="utf-8"?>
<sst xmlns="http://schemas.openxmlformats.org/spreadsheetml/2006/main" count="764" uniqueCount="392">
  <si>
    <t>Fișierul conține următoarele sheet-uri:</t>
  </si>
  <si>
    <t xml:space="preserve"> - cheltuieli cu parcarea la aeroport;</t>
  </si>
  <si>
    <t>Suceava</t>
  </si>
  <si>
    <t>Bacău</t>
  </si>
  <si>
    <t>Iași</t>
  </si>
  <si>
    <t>București</t>
  </si>
  <si>
    <t>Cluj-Napoca</t>
  </si>
  <si>
    <t>Avion</t>
  </si>
  <si>
    <t>Tren</t>
  </si>
  <si>
    <t>Răspuns DA/NU</t>
  </si>
  <si>
    <t>DA</t>
  </si>
  <si>
    <t>NU</t>
  </si>
  <si>
    <t>Autoturism</t>
  </si>
  <si>
    <t>Prioritate din program</t>
  </si>
  <si>
    <t>IMPORTANT!</t>
  </si>
  <si>
    <t xml:space="preserve"> - cheltuieli cu asigurarea medicală pentru deplasările în străinătate, altele decât cele prevăzute de lege;</t>
  </si>
  <si>
    <t>Nume și prenume</t>
  </si>
  <si>
    <t>CURS/ACTIVITATE DE INSTRUIRE</t>
  </si>
  <si>
    <t>Sediul (localitatea)</t>
  </si>
  <si>
    <t>Nu este cazul</t>
  </si>
  <si>
    <t>&lt;Selectează&gt;</t>
  </si>
  <si>
    <t>Aeroportul de decolare, la plecarea din țară (localitatea)</t>
  </si>
  <si>
    <t>Aeroportul de aterizare, la întoarcerea în țară (localitatea)</t>
  </si>
  <si>
    <t>Data și ora ieșirii din România</t>
  </si>
  <si>
    <t>Data și ora întoarcerii în România</t>
  </si>
  <si>
    <t>P1 - O regiune mai competitivă, mai inovativă</t>
  </si>
  <si>
    <t>P2 - O regiune mai digitalizată</t>
  </si>
  <si>
    <t>P3 - O regiune durabilă, prietenoasă cu mediul</t>
  </si>
  <si>
    <t>P4 - O regiune cu o mobilitate urbană durabilă</t>
  </si>
  <si>
    <t>P5 - O regiune accesibilă</t>
  </si>
  <si>
    <t>P6 - O regiune educată</t>
  </si>
  <si>
    <t>P7 - O rregiune atractivă</t>
  </si>
  <si>
    <t>Indemnizație de cazare externă</t>
  </si>
  <si>
    <t>Document justificativ</t>
  </si>
  <si>
    <t>Documentele în format letric au fost scanate la o rezoluție care să asigure lizibilitatea în format electronic.</t>
  </si>
  <si>
    <t xml:space="preserve">CIF: </t>
  </si>
  <si>
    <t>IBAN:</t>
  </si>
  <si>
    <t>Vă rugăm virați suma în următoarele conturi :</t>
  </si>
  <si>
    <t>Participant 1</t>
  </si>
  <si>
    <t>Drepturi diurnă (externă)</t>
  </si>
  <si>
    <t>Drepturi indemnizație cazare</t>
  </si>
  <si>
    <t>Mesaj depășire indemnizație cazare</t>
  </si>
  <si>
    <t>Spania</t>
  </si>
  <si>
    <t>TRANSPORT</t>
  </si>
  <si>
    <t>PARTICIPANȚI</t>
  </si>
  <si>
    <t>SPECIFICAȚII</t>
  </si>
  <si>
    <t>DATE</t>
  </si>
  <si>
    <t>Nr. crt.</t>
  </si>
  <si>
    <t>Ţara</t>
  </si>
  <si>
    <t>Valuta</t>
  </si>
  <si>
    <t>Indemnizaţia da deplasare</t>
  </si>
  <si>
    <t>categoria I</t>
  </si>
  <si>
    <t>categoria II</t>
  </si>
  <si>
    <t>diurna</t>
  </si>
  <si>
    <t>indemnizaţie de cazare</t>
  </si>
  <si>
    <t>Afganistan</t>
  </si>
  <si>
    <t>USD</t>
  </si>
  <si>
    <t>Africa de Sud (Republica)</t>
  </si>
  <si>
    <t>Albania</t>
  </si>
  <si>
    <t>euro</t>
  </si>
  <si>
    <t>Algeria</t>
  </si>
  <si>
    <t>Anglia (Regatul Unit al Marii Britanii şi Irlandei de Nord)</t>
  </si>
  <si>
    <t>Angola</t>
  </si>
  <si>
    <t>Antigua şi Barbuda</t>
  </si>
  <si>
    <t>Antile</t>
  </si>
  <si>
    <t>Arabia Saudită</t>
  </si>
  <si>
    <t>Argentina</t>
  </si>
  <si>
    <t>Armenia</t>
  </si>
  <si>
    <t>Australia</t>
  </si>
  <si>
    <t>Austria</t>
  </si>
  <si>
    <t>Azerbaidjan</t>
  </si>
  <si>
    <t>Bahamas</t>
  </si>
  <si>
    <t>Bahrain</t>
  </si>
  <si>
    <t>Bangladesh</t>
  </si>
  <si>
    <t>Belarus</t>
  </si>
  <si>
    <t>Belgia</t>
  </si>
  <si>
    <t>Benin</t>
  </si>
  <si>
    <t>Birmania</t>
  </si>
  <si>
    <t>Bolivia</t>
  </si>
  <si>
    <t>Botswana</t>
  </si>
  <si>
    <t>Bosnia şi Herzegovina</t>
  </si>
  <si>
    <t>Brazilia</t>
  </si>
  <si>
    <t>Bulgaria</t>
  </si>
  <si>
    <t>Burkina Faso</t>
  </si>
  <si>
    <t>Burundi</t>
  </si>
  <si>
    <t>Cambodgia</t>
  </si>
  <si>
    <t>Camerun</t>
  </si>
  <si>
    <t>Canada</t>
  </si>
  <si>
    <t>Capul Verde</t>
  </si>
  <si>
    <t>Cehia (Republica)</t>
  </si>
  <si>
    <t>Centrafricană (Republica)</t>
  </si>
  <si>
    <t>Chile</t>
  </si>
  <si>
    <t>Chineză (Republica Populară)</t>
  </si>
  <si>
    <t>Ciad</t>
  </si>
  <si>
    <t>Cipru</t>
  </si>
  <si>
    <t>Coasta de Fildeş</t>
  </si>
  <si>
    <t>Columbia</t>
  </si>
  <si>
    <t>Congo</t>
  </si>
  <si>
    <t>Coreea de Sud</t>
  </si>
  <si>
    <t>Coreea (RPD)</t>
  </si>
  <si>
    <t>Costa Rica</t>
  </si>
  <si>
    <t>Croaţia</t>
  </si>
  <si>
    <t>Cuba</t>
  </si>
  <si>
    <t>Danemarca</t>
  </si>
  <si>
    <t>Djibouti</t>
  </si>
  <si>
    <t>Dominicană (Republica)</t>
  </si>
  <si>
    <t>Ecuador</t>
  </si>
  <si>
    <t>Egipt</t>
  </si>
  <si>
    <t>Elveţia</t>
  </si>
  <si>
    <t>Emiratele Arabe Unite</t>
  </si>
  <si>
    <t>Estonia</t>
  </si>
  <si>
    <t>Etiopia</t>
  </si>
  <si>
    <t>Fiji</t>
  </si>
  <si>
    <t>Filipine</t>
  </si>
  <si>
    <t>Finlanda</t>
  </si>
  <si>
    <t>Franţa</t>
  </si>
  <si>
    <t>Gabon</t>
  </si>
  <si>
    <t>Gambia</t>
  </si>
  <si>
    <t>Georgia</t>
  </si>
  <si>
    <t>Germania</t>
  </si>
  <si>
    <t>Ghana</t>
  </si>
  <si>
    <t>Grecia</t>
  </si>
  <si>
    <t>Guatemala</t>
  </si>
  <si>
    <t>Guineea</t>
  </si>
  <si>
    <t>Guineea-Bissau</t>
  </si>
  <si>
    <t>Guineea Ecuatorială</t>
  </si>
  <si>
    <t>Guyana</t>
  </si>
  <si>
    <t>Haiti</t>
  </si>
  <si>
    <t>Honduras</t>
  </si>
  <si>
    <t>Hong Kong</t>
  </si>
  <si>
    <t>India</t>
  </si>
  <si>
    <t>Indonezia</t>
  </si>
  <si>
    <t>Iordania</t>
  </si>
  <si>
    <t>Irak</t>
  </si>
  <si>
    <t>Iran</t>
  </si>
  <si>
    <t>Irlanda</t>
  </si>
  <si>
    <t>Islanda</t>
  </si>
  <si>
    <t>Israel</t>
  </si>
  <si>
    <t>Italia</t>
  </si>
  <si>
    <t>Jamaica</t>
  </si>
  <si>
    <t>Japonia</t>
  </si>
  <si>
    <t>Kazahstan</t>
  </si>
  <si>
    <t>Kenya</t>
  </si>
  <si>
    <t>Kârgâzstan</t>
  </si>
  <si>
    <t>Kuwait</t>
  </si>
  <si>
    <t>Laos</t>
  </si>
  <si>
    <t>Lesotho</t>
  </si>
  <si>
    <t>Letonia</t>
  </si>
  <si>
    <t>Liban</t>
  </si>
  <si>
    <t>Liberia</t>
  </si>
  <si>
    <t>Libia</t>
  </si>
  <si>
    <t>Lituania</t>
  </si>
  <si>
    <t>Luxemburg</t>
  </si>
  <si>
    <t>Macedonia</t>
  </si>
  <si>
    <t>Madagascar</t>
  </si>
  <si>
    <t>Malaysia</t>
  </si>
  <si>
    <t>Mali</t>
  </si>
  <si>
    <t>Malta</t>
  </si>
  <si>
    <t>Maroc</t>
  </si>
  <si>
    <t>Mauritania</t>
  </si>
  <si>
    <t>Mauritius</t>
  </si>
  <si>
    <t>Mexic</t>
  </si>
  <si>
    <t>Moldova</t>
  </si>
  <si>
    <t>Mongolia</t>
  </si>
  <si>
    <t>Mozambic</t>
  </si>
  <si>
    <t>Muntenegru</t>
  </si>
  <si>
    <t>Myanmar</t>
  </si>
  <si>
    <t>Namibia</t>
  </si>
  <si>
    <t>Nepal</t>
  </si>
  <si>
    <t>Nicaragua</t>
  </si>
  <si>
    <t>Niger</t>
  </si>
  <si>
    <t>Nigeria</t>
  </si>
  <si>
    <t>Norvegia</t>
  </si>
  <si>
    <t>Noua Zeelandă</t>
  </si>
  <si>
    <t>Olanda</t>
  </si>
  <si>
    <t>Oman</t>
  </si>
  <si>
    <t>Pakistan</t>
  </si>
  <si>
    <t>Panama</t>
  </si>
  <si>
    <t>Papua-Noua Guinee</t>
  </si>
  <si>
    <t>Paraguay</t>
  </si>
  <si>
    <t>Peru</t>
  </si>
  <si>
    <t>Polonia</t>
  </si>
  <si>
    <t>Portugalia</t>
  </si>
  <si>
    <t>Qatar</t>
  </si>
  <si>
    <t>Rwanda</t>
  </si>
  <si>
    <t>Federaţia Rusă</t>
  </si>
  <si>
    <t>Salvador</t>
  </si>
  <si>
    <t>Sao Tome şi Principe</t>
  </si>
  <si>
    <t>San Marino</t>
  </si>
  <si>
    <t>Senegal</t>
  </si>
  <si>
    <t>Serbia</t>
  </si>
  <si>
    <t>Sierra Leone</t>
  </si>
  <si>
    <t>Singapore</t>
  </si>
  <si>
    <t>Siria</t>
  </si>
  <si>
    <t>Slovacia</t>
  </si>
  <si>
    <t>Slovenia</t>
  </si>
  <si>
    <t>Somalia</t>
  </si>
  <si>
    <t>Sri Lanka</t>
  </si>
  <si>
    <t>S.U.A.</t>
  </si>
  <si>
    <t>Sudan</t>
  </si>
  <si>
    <t>Suedia</t>
  </si>
  <si>
    <t>Surinam</t>
  </si>
  <si>
    <t>Tadjikistan</t>
  </si>
  <si>
    <t>Tanzania</t>
  </si>
  <si>
    <t>Taiwan</t>
  </si>
  <si>
    <t>Thailanda</t>
  </si>
  <si>
    <t>Togo</t>
  </si>
  <si>
    <t>Tunisia</t>
  </si>
  <si>
    <t>Turcia</t>
  </si>
  <si>
    <t>Turkmenistan</t>
  </si>
  <si>
    <t>Ucraina</t>
  </si>
  <si>
    <t>Uganda</t>
  </si>
  <si>
    <t>Ungaria</t>
  </si>
  <si>
    <t>Uruguay</t>
  </si>
  <si>
    <t>Uzbekistan</t>
  </si>
  <si>
    <t>Vatican</t>
  </si>
  <si>
    <t>Venezuela</t>
  </si>
  <si>
    <t>Vietnam</t>
  </si>
  <si>
    <t>Yemen</t>
  </si>
  <si>
    <t>Zair</t>
  </si>
  <si>
    <t>Zambia</t>
  </si>
  <si>
    <t>Zimbabwe</t>
  </si>
  <si>
    <t>Categoria I</t>
  </si>
  <si>
    <t>Categoria II</t>
  </si>
  <si>
    <t>_Nu este cazul</t>
  </si>
  <si>
    <t>Indemnizația de cazare se acordă la cost real (cu factură) sau la nivelul din Anexa la HG nr. 518/1995?</t>
  </si>
  <si>
    <t>conf. Anexă HG 518/1995</t>
  </si>
  <si>
    <t>Data</t>
  </si>
  <si>
    <t>dolar SUA</t>
  </si>
  <si>
    <t>(lei)</t>
  </si>
  <si>
    <t>CURSZ_EUR</t>
  </si>
  <si>
    <t>CURSZ_USD</t>
  </si>
  <si>
    <t>Romania</t>
  </si>
  <si>
    <t>Mesaj eroare diurnă</t>
  </si>
  <si>
    <t>Anexa HG 518/1995</t>
  </si>
  <si>
    <t>Categ. Diurnă-HG 518/1995</t>
  </si>
  <si>
    <t>Opțiunea inițială în formular (câmp de calcul)</t>
  </si>
  <si>
    <t>Activitatea s-a defășurat în străinătate?</t>
  </si>
  <si>
    <t>CAZARE</t>
  </si>
  <si>
    <t>Reprezentant legal/împuternicit</t>
  </si>
  <si>
    <t>Participant 2</t>
  </si>
  <si>
    <t>Localitatea</t>
  </si>
  <si>
    <t>Țara (în străinătate)</t>
  </si>
  <si>
    <t>Cheltuieli deplasare cu autoturism?</t>
  </si>
  <si>
    <t>Distanța rutieră (Km)</t>
  </si>
  <si>
    <t>Cheltuieli deplasare cu mijloace transport în comun?</t>
  </si>
  <si>
    <t>Cod unic de identificare (CUI)</t>
  </si>
  <si>
    <t>Drepturi cazare externă (număr nopți):</t>
  </si>
  <si>
    <t>Mesaj eroare ieșire din RO</t>
  </si>
  <si>
    <t>Mesaj eroare întoarcere în RO</t>
  </si>
  <si>
    <t>Acțiunea recomandată în starea prezentă (câmp de calcul, nu e pentru utilizator)</t>
  </si>
  <si>
    <t xml:space="preserve">Taxă participare curs/activitate de instruire   </t>
  </si>
  <si>
    <t>Cheltuieli cu diurna (externă)</t>
  </si>
  <si>
    <t>Cheltuieli cu indemnizația de delegare</t>
  </si>
  <si>
    <t>Cheltuieli cu alocația de cazare</t>
  </si>
  <si>
    <t>Valoare - lei</t>
  </si>
  <si>
    <t>Valuta de decontare</t>
  </si>
  <si>
    <t>Categoria de diurnă</t>
  </si>
  <si>
    <t xml:space="preserve"> -</t>
  </si>
  <si>
    <t>DURATA DELEGĂRII</t>
  </si>
  <si>
    <t>DURATA EFECTIVĂ A DEPLASĂRII ÎN AFARA ROMÂNIEI</t>
  </si>
  <si>
    <t>Dată depunere decont</t>
  </si>
  <si>
    <t>Data depunere decont e aceeași cu data întoarcerii din delegație</t>
  </si>
  <si>
    <t>Avion+Tren</t>
  </si>
  <si>
    <r>
      <t xml:space="preserve">DUS - Gara de </t>
    </r>
    <r>
      <rPr>
        <b/>
        <sz val="11"/>
        <color theme="1"/>
        <rFont val="Arial"/>
        <family val="2"/>
      </rPr>
      <t>plecare</t>
    </r>
    <r>
      <rPr>
        <sz val="11"/>
        <color theme="1"/>
        <rFont val="Arial"/>
        <family val="2"/>
      </rPr>
      <t xml:space="preserve"> (localitatea)</t>
    </r>
  </si>
  <si>
    <r>
      <t xml:space="preserve">DUS - Gara de </t>
    </r>
    <r>
      <rPr>
        <b/>
        <sz val="11"/>
        <color theme="1"/>
        <rFont val="Arial"/>
        <family val="2"/>
      </rPr>
      <t>sosire</t>
    </r>
    <r>
      <rPr>
        <sz val="11"/>
        <color theme="1"/>
        <rFont val="Arial"/>
        <family val="2"/>
      </rPr>
      <t xml:space="preserve"> (localitatea)</t>
    </r>
  </si>
  <si>
    <t>ÎNTORS - Gara de plecare (localitatea)</t>
  </si>
  <si>
    <r>
      <t xml:space="preserve">DUS - Localitatea de </t>
    </r>
    <r>
      <rPr>
        <b/>
        <sz val="11"/>
        <color theme="1"/>
        <rFont val="Arial"/>
        <family val="2"/>
      </rPr>
      <t>plecare</t>
    </r>
  </si>
  <si>
    <r>
      <t xml:space="preserve">DUS - Localitatea de </t>
    </r>
    <r>
      <rPr>
        <b/>
        <sz val="11"/>
        <color theme="1"/>
        <rFont val="Arial"/>
        <family val="2"/>
      </rPr>
      <t>sosire</t>
    </r>
  </si>
  <si>
    <r>
      <t xml:space="preserve">ÎNTORS - Localitatea de </t>
    </r>
    <r>
      <rPr>
        <b/>
        <sz val="11"/>
        <color theme="1"/>
        <rFont val="Arial"/>
        <family val="2"/>
      </rPr>
      <t>sosire</t>
    </r>
  </si>
  <si>
    <r>
      <t xml:space="preserve">ÎNTORS - Localitatea de </t>
    </r>
    <r>
      <rPr>
        <b/>
        <sz val="11"/>
        <color theme="1"/>
        <rFont val="Arial"/>
        <family val="2"/>
      </rPr>
      <t>plecare</t>
    </r>
  </si>
  <si>
    <r>
      <t xml:space="preserve">ÎNTORS - Gara de </t>
    </r>
    <r>
      <rPr>
        <b/>
        <sz val="11"/>
        <color theme="1"/>
        <rFont val="Arial"/>
        <family val="2"/>
      </rPr>
      <t>sosire</t>
    </r>
    <r>
      <rPr>
        <sz val="11"/>
        <color theme="1"/>
        <rFont val="Arial"/>
        <family val="2"/>
      </rPr>
      <t xml:space="preserve"> (localitatea)</t>
    </r>
  </si>
  <si>
    <t>Mijlocul de transport</t>
  </si>
  <si>
    <t>Cheltuieli transport - tren</t>
  </si>
  <si>
    <t>Deplasare DE LA aeroportul de întoarcere în România</t>
  </si>
  <si>
    <t>Cheltuieli de transport, cu deplasarea la aeroportul de plecare din România, precum și de la aeroportul de întoarcere în România, din care:</t>
  </si>
  <si>
    <t>Drepturi alocație cazare</t>
  </si>
  <si>
    <t>Drepturi cazare internă (maximal)</t>
  </si>
  <si>
    <t>Număr minute de delegare în afara RO</t>
  </si>
  <si>
    <t>Număr minute de delegare în RO, înainte de ieșirea din țară</t>
  </si>
  <si>
    <t>Număr minute de delegare în RO, după reîntoarcerea în țară</t>
  </si>
  <si>
    <t>Număr minute de delegare în RO - total</t>
  </si>
  <si>
    <t>Mesaj alocație cazare</t>
  </si>
  <si>
    <t>Mesaj indemnizație deplasare</t>
  </si>
  <si>
    <t>Drepturi alocație cazare RO - lei/noapte, conf. HG 714/2018</t>
  </si>
  <si>
    <t>Drepturi indemnizație deplasare RO - lei/zi, conf. HG 714/2018</t>
  </si>
  <si>
    <t>Total indemnizații deplasare</t>
  </si>
  <si>
    <t>Tip alimentare</t>
  </si>
  <si>
    <t>Benzină/motorină</t>
  </si>
  <si>
    <t>Energie electrică</t>
  </si>
  <si>
    <t>Mijloc de deplasare</t>
  </si>
  <si>
    <t>Aeroport</t>
  </si>
  <si>
    <t>Valoare bon fiscal alimentare</t>
  </si>
  <si>
    <t>Denumire partener</t>
  </si>
  <si>
    <t>DECONT CHELTUIELI</t>
  </si>
  <si>
    <t>Furnizor formare</t>
  </si>
  <si>
    <t>DJ</t>
  </si>
  <si>
    <t>x</t>
  </si>
  <si>
    <t>Participant 3</t>
  </si>
  <si>
    <t>Specificație</t>
  </si>
  <si>
    <t>Date</t>
  </si>
  <si>
    <t>Valoare bilet/tichet călătorie</t>
  </si>
  <si>
    <t>-</t>
  </si>
  <si>
    <t>Domeniu de intervenție</t>
  </si>
  <si>
    <t>Cheltuieli transport - pe distanța dus-întors între aeroport/gară și locul de cazare</t>
  </si>
  <si>
    <t>Data depunerii decontului la întoarcerea din deplasare</t>
  </si>
  <si>
    <t>Suma de control</t>
  </si>
  <si>
    <t>Total cheltuieli</t>
  </si>
  <si>
    <t>ORGANIZAȚIE/INSTITUȚIE PARTICIPANTĂ</t>
  </si>
  <si>
    <t>DATE GENERALE</t>
  </si>
  <si>
    <t>Perioada de desfășurare</t>
  </si>
  <si>
    <t>Denumire activitate de instruire</t>
  </si>
  <si>
    <t>CHELTUIELI ÎN STRĂINĂTATE:</t>
  </si>
  <si>
    <t>CHELTUIELI ÎN ROMÂNIA:</t>
  </si>
  <si>
    <t>Cod IBAN</t>
  </si>
  <si>
    <t>Suma (lei) :</t>
  </si>
  <si>
    <t>Prioritatea (PR Nord-Est 2021-2027)</t>
  </si>
  <si>
    <t>Valoare totală a cheltuielilor în străinătate, în lei [ (44) * (6) ]</t>
  </si>
  <si>
    <t>TOTAL [ (46) + ... + (49) ] - lei</t>
  </si>
  <si>
    <t>INSTRUCȚIUNI DE COMPLETARE A DECONTULUI</t>
  </si>
  <si>
    <t>1. Decontarea cheltuielillor se realizează conform prevederilor acordului de parteneriat.</t>
  </si>
  <si>
    <t xml:space="preserve"> - taxe de participare la curs/activitate de instruire pe baza facturii și a dovezii de plată;</t>
  </si>
  <si>
    <t>Acord de parteneriat (nr. ... din ... )</t>
  </si>
  <si>
    <t>Beneficiar :</t>
  </si>
  <si>
    <t>Elaborat,</t>
  </si>
  <si>
    <t>Aprobat,</t>
  </si>
  <si>
    <t>Este permisă numai utilizarea semnăturilor electronice obținute cu certificate digitale calificate.</t>
  </si>
  <si>
    <t>Toate cheltuielile solicitate la decontare sunt detaliate în deconturile participanților. Prezentul decont de cheltuieli este însoțit de deconturile fiecărui participant, împreună cu documentele justificative, în format electronic (pdf).</t>
  </si>
  <si>
    <t>Deplasare LA aeroportul de plecare din România</t>
  </si>
  <si>
    <t>Număr jumătăți de zi de delegare în afara RO</t>
  </si>
  <si>
    <t>Mesaj eroare data depunerii decont</t>
  </si>
  <si>
    <t>Valoarea totală a cheltuielilor</t>
  </si>
  <si>
    <t xml:space="preserve"> - transport public (bilet de avion, tren, autobuz, ș.a.);</t>
  </si>
  <si>
    <t xml:space="preserve">  - combustibil autoturism cu ardere internă alimentat cu benzină sau motorină;</t>
  </si>
  <si>
    <t xml:space="preserve"> -  energie electrică - autoturism cu motor electric;</t>
  </si>
  <si>
    <t xml:space="preserve"> - combustibil autoturism cu ardere internă alimentat cu benzină sau motorină;</t>
  </si>
  <si>
    <t>3. Data depunerii decontului la întoarcerea din deplasare este data depunerii, de către participanți, a documentelor la instituția/organizația participantă.</t>
  </si>
  <si>
    <t>5. Se decontează:</t>
  </si>
  <si>
    <t>6. Nu se decontează:</t>
  </si>
  <si>
    <t xml:space="preserve"> - comisioanele bancare aferente plăților efectuate în scopul deplasării.</t>
  </si>
  <si>
    <t>Reprezentând:</t>
  </si>
  <si>
    <t xml:space="preserve">Furnizor </t>
  </si>
  <si>
    <t>Data facturii</t>
  </si>
  <si>
    <t>Valoarea taxei de participare - lei</t>
  </si>
  <si>
    <t>Nr. facturii</t>
  </si>
  <si>
    <t>*se va completa după caz secțiunea A) sau B)</t>
  </si>
  <si>
    <t>A) TAXE DE PARTICIPARE - EUR*</t>
  </si>
  <si>
    <t>B) TAXE DE PARTICIPARE - LEI*</t>
  </si>
  <si>
    <t>Drepturi (număr indemnizații) indemnizație deplasare, după întoarcerea în țară (internă)</t>
  </si>
  <si>
    <t>Data depunerii decontului la întoarcerea din deplasare (zi/lună/an)</t>
  </si>
  <si>
    <t>Data și ora ieșirii din România (zi/lună/an ora:minute)</t>
  </si>
  <si>
    <t>Data și ora întoarcerii în România (zi/lună/an ora:minute)</t>
  </si>
  <si>
    <t xml:space="preserve"> - transportul local extern, altul decat transportul între aeroport/gară și locul de cazare din prima și ultima zi a deplasării externe;</t>
  </si>
  <si>
    <r>
      <t xml:space="preserve"> - </t>
    </r>
    <r>
      <rPr>
        <b/>
        <sz val="11"/>
        <rFont val="Arial"/>
        <family val="2"/>
      </rPr>
      <t>Instrucțiuni</t>
    </r>
    <r>
      <rPr>
        <sz val="11"/>
        <rFont val="Arial"/>
        <family val="2"/>
      </rPr>
      <t>: cu informații și indicații de completare.</t>
    </r>
  </si>
  <si>
    <t xml:space="preserve"> - cheltuieli de transport la deplasarea cu autoturismul: contravaloarea a 7,5 litri carburant la 100 km parcurși pe distanța cea mai scurtă dintre localitatea de plecare și locul de desfășurare a activității sau localitatea din care urmează să se continue deplasarea cu un alt mijloc de transport (avion, tren), pe baza foii de parcurs și a bonului/bonurilor de alimentare* din prima/ultima zi a delegației;</t>
  </si>
  <si>
    <t xml:space="preserve"> - cheltuieli de transport la deplasarea cu autoturismul electric: contravaloarea consumului conform normei de consum WLTP (Worldwide Harmonized Light-Duty Vehicles Test Procedure) din cartea tehnică a mașinii, măsurată în kWh la 100 km parcurși, pe distanța cea mai scurtă dintre localitatea de plecare și locul de desfășurare a activității sau localitatea din care urmează să se continue deplasarea cu un alt mijloc de transport (avion, tren), pe baza foii de parcurs și a bonului/bonurilor de alimentare* din prima/ultima zi a delegației.</t>
  </si>
  <si>
    <r>
      <t xml:space="preserve">*Bonul de alimentare = bonul fiscal de alimentare din ziua plecării și/sau din ziua întoarcerii, de la o stație de alimentare de pe ruta de deplasare și care </t>
    </r>
    <r>
      <rPr>
        <b/>
        <sz val="11"/>
        <rFont val="Arial"/>
        <family val="2"/>
      </rPr>
      <t>are înscris codul fiscal al ADR Nord Est, 11616139</t>
    </r>
    <r>
      <rPr>
        <sz val="11"/>
        <rFont val="Arial"/>
        <family val="2"/>
      </rPr>
      <t>.</t>
    </r>
  </si>
  <si>
    <t>Listă documente justificative
(tip, nr., dată, denumire furnizor)</t>
  </si>
  <si>
    <t>norma WLTP</t>
  </si>
  <si>
    <t>site distanta.ro</t>
  </si>
  <si>
    <r>
      <t xml:space="preserve">2. Decontarea cheltuielilor în valută se realizează la </t>
    </r>
    <r>
      <rPr>
        <b/>
        <sz val="11"/>
        <rFont val="Arial"/>
        <family val="2"/>
      </rPr>
      <t xml:space="preserve">cursul comunicat de BNR valabil la data depunerii decontului </t>
    </r>
    <r>
      <rPr>
        <sz val="11"/>
        <rFont val="Arial"/>
        <family val="2"/>
      </rPr>
      <t>de către participantul la sesiunea de instruire. (Cursul valutar de decontare este cursul de schimb din ultima zi lucrătoare precedentă zilei în care a fost depus decontul).</t>
    </r>
  </si>
  <si>
    <t>Data și ora plecării în delegație (ziua/luna/an ora:minute)</t>
  </si>
  <si>
    <t>Data și ora întoarcerii din delegație (ziua/luna/an ora:minute)</t>
  </si>
  <si>
    <t>Drepturi (număr indemnizații) indemnizație deplasare, înainte de ieșirea din țară (internă, calculat câte 1 pentru fiecare 24 ore)</t>
  </si>
  <si>
    <t>Furnizor</t>
  </si>
  <si>
    <t>Curs valutar din data plății</t>
  </si>
  <si>
    <t>TVA taxă participare (dacă este cazul) - lei</t>
  </si>
  <si>
    <t>TOTAL - lei</t>
  </si>
  <si>
    <r>
      <t xml:space="preserve"> - </t>
    </r>
    <r>
      <rPr>
        <b/>
        <sz val="11"/>
        <rFont val="Arial"/>
        <family val="2"/>
      </rPr>
      <t>Taxe participare</t>
    </r>
    <r>
      <rPr>
        <sz val="11"/>
        <rFont val="Arial"/>
        <family val="2"/>
      </rPr>
      <t xml:space="preserve">: taxele de participare la activitatea de instruire se decontează la cursul comunicat de BNR valabil în </t>
    </r>
    <r>
      <rPr>
        <b/>
        <sz val="11"/>
        <rFont val="Arial"/>
        <family val="2"/>
      </rPr>
      <t>data plății facturii</t>
    </r>
    <r>
      <rPr>
        <sz val="11"/>
        <rFont val="Arial"/>
        <family val="2"/>
      </rPr>
      <t>.</t>
    </r>
  </si>
  <si>
    <t>Elaborat</t>
  </si>
  <si>
    <t>170 - Imbunătățirea capacității autorităților responsabile de programe și a organismelor implicate în execuția fondurilor</t>
  </si>
  <si>
    <r>
      <t xml:space="preserve">ÎNTORS - Gara de </t>
    </r>
    <r>
      <rPr>
        <b/>
        <sz val="11"/>
        <color theme="1"/>
        <rFont val="Arial"/>
        <family val="2"/>
      </rPr>
      <t>plecare</t>
    </r>
    <r>
      <rPr>
        <sz val="11"/>
        <color theme="1"/>
        <rFont val="Arial"/>
        <family val="2"/>
      </rPr>
      <t xml:space="preserve"> (localitatea)</t>
    </r>
  </si>
  <si>
    <r>
      <t xml:space="preserve">Dacă se efectuează o singură alimentare, atunci valoarea bonului se va trece o singură dată în decontul participantului iar la </t>
    </r>
    <r>
      <rPr>
        <i/>
        <sz val="11"/>
        <rFont val="Arial"/>
        <family val="2"/>
      </rPr>
      <t>Distanța rutieră (km)</t>
    </r>
    <r>
      <rPr>
        <sz val="11"/>
        <rFont val="Arial"/>
        <family val="2"/>
      </rPr>
      <t xml:space="preserve"> se va trece numărul total al kilometrilor efectuați (dus-intors).</t>
    </r>
  </si>
  <si>
    <t xml:space="preserve"> - cheltuieli de transport la călătoria cu trenul: după tariful clasei a II-a, pe distanțe de până la 300 km, și după tariful clasei I, pe distanțe mai mari de 300 km, pe baza biletului de călătorie;</t>
  </si>
  <si>
    <t>boarding pass</t>
  </si>
  <si>
    <r>
      <t xml:space="preserve">4. La completarea datelor de plecare/întoarcere trebuie utilizat </t>
    </r>
    <r>
      <rPr>
        <b/>
        <sz val="11"/>
        <rFont val="Arial"/>
        <family val="2"/>
      </rPr>
      <t>exclusiv</t>
    </r>
    <r>
      <rPr>
        <sz val="11"/>
        <rFont val="Arial"/>
        <family val="2"/>
      </rPr>
      <t xml:space="preserve"> </t>
    </r>
    <r>
      <rPr>
        <b/>
        <sz val="11"/>
        <rFont val="Arial"/>
        <family val="2"/>
      </rPr>
      <t>formatul de date</t>
    </r>
    <r>
      <rPr>
        <sz val="11"/>
        <rFont val="Arial"/>
        <family val="2"/>
      </rPr>
      <t xml:space="preserve"> </t>
    </r>
    <r>
      <rPr>
        <b/>
        <sz val="11"/>
        <rFont val="Arial"/>
        <family val="2"/>
      </rPr>
      <t>zz/ll/aaaa oo:mm</t>
    </r>
    <r>
      <rPr>
        <sz val="11"/>
        <rFont val="Arial"/>
        <family val="2"/>
      </rPr>
      <t xml:space="preserve"> (zi/lună/an oră:minut).</t>
    </r>
  </si>
  <si>
    <t>factura …....</t>
  </si>
  <si>
    <r>
      <t xml:space="preserve"> - </t>
    </r>
    <r>
      <rPr>
        <b/>
        <sz val="11"/>
        <rFont val="Arial"/>
        <family val="2"/>
      </rPr>
      <t>Participant 1, Participant 2</t>
    </r>
    <r>
      <rPr>
        <sz val="11"/>
        <rFont val="Arial"/>
        <family val="2"/>
      </rPr>
      <t xml:space="preserve">: Se completează câte un "sheet"/tabel (decont participant) pentru fiecare persoană; ; </t>
    </r>
  </si>
  <si>
    <r>
      <t xml:space="preserve"> - </t>
    </r>
    <r>
      <rPr>
        <b/>
        <sz val="11"/>
        <rFont val="Arial"/>
        <family val="2"/>
      </rPr>
      <t>Decont</t>
    </r>
    <r>
      <rPr>
        <sz val="11"/>
        <rFont val="Arial"/>
        <family val="2"/>
      </rPr>
      <t xml:space="preserve">: în decontul de cheltuieli trebuie </t>
    </r>
    <r>
      <rPr>
        <b/>
        <sz val="11"/>
        <rFont val="Arial"/>
        <family val="2"/>
      </rPr>
      <t>completate</t>
    </r>
    <r>
      <rPr>
        <sz val="11"/>
        <rFont val="Arial"/>
        <family val="2"/>
      </rPr>
      <t xml:space="preserve">, la final, numai sumele defalcate pe cod IBAN, celelalte date fiind completate automat, pe baza datelor din sheet-urile anterioare; decontul trebuie </t>
    </r>
    <r>
      <rPr>
        <b/>
        <sz val="11"/>
        <rFont val="Arial"/>
        <family val="2"/>
      </rPr>
      <t xml:space="preserve">transmis în format pdf </t>
    </r>
    <r>
      <rPr>
        <sz val="11"/>
        <rFont val="Arial"/>
        <family val="2"/>
      </rPr>
      <t>semnat electronic.</t>
    </r>
  </si>
  <si>
    <r>
      <t xml:space="preserve"> - </t>
    </r>
    <r>
      <rPr>
        <b/>
        <sz val="11"/>
        <rFont val="Arial"/>
        <family val="2"/>
      </rPr>
      <t>Date generale</t>
    </r>
    <r>
      <rPr>
        <sz val="11"/>
        <rFont val="Arial"/>
        <family val="2"/>
      </rPr>
      <t xml:space="preserve">: pentru introducerea datelor/informațiilor generale privind organizația, participanții și activitatea desfășurată. </t>
    </r>
  </si>
  <si>
    <r>
      <t xml:space="preserve">Fiecare decont al participantului trebuie </t>
    </r>
    <r>
      <rPr>
        <b/>
        <sz val="11"/>
        <rFont val="Arial"/>
        <family val="2"/>
      </rPr>
      <t>transmis în format pdf</t>
    </r>
    <r>
      <rPr>
        <sz val="11"/>
        <rFont val="Arial"/>
        <family val="2"/>
      </rPr>
      <t>, semnat electronic.</t>
    </r>
  </si>
  <si>
    <r>
      <t>Pentru introducerea datelor/informațiilor privind cheltuielile și documentele justificative ale fiecărui participant, începeți prin completarea</t>
    </r>
    <r>
      <rPr>
        <b/>
        <sz val="11"/>
        <rFont val="Arial"/>
        <family val="2"/>
      </rPr>
      <t xml:space="preserve"> Listei documentelor justificative</t>
    </r>
    <r>
      <rPr>
        <sz val="11"/>
        <rFont val="Arial"/>
        <family val="2"/>
      </rPr>
      <t xml:space="preserve"> din tabelul de la finalul decontului fiecărui participant. In acest mod, în celulele din coloana Documente justificative veti deschide lista si doar veti alege documentul corespunzator. </t>
    </r>
  </si>
  <si>
    <t>Pentru ajutor în introducerea datelor, în timpul completării formularelor sunt afișate atenționări. Decontul fiecărui participant este considerat completat corect numai în momentul în care nu mai apar atenționări.</t>
  </si>
  <si>
    <t>ordin de deplasare nr.  /</t>
  </si>
  <si>
    <t>bon fiscal nr.  /</t>
  </si>
  <si>
    <t>decont de cheltuieli nr.  /</t>
  </si>
  <si>
    <r>
      <t xml:space="preserve">Tabelul cu taxele participare trebuie </t>
    </r>
    <r>
      <rPr>
        <b/>
        <sz val="11"/>
        <rFont val="Arial"/>
        <family val="2"/>
      </rPr>
      <t>transmis în format pdf</t>
    </r>
    <r>
      <rPr>
        <sz val="11"/>
        <rFont val="Arial"/>
        <family val="2"/>
      </rPr>
      <t>, semnat electronic.</t>
    </r>
  </si>
  <si>
    <t xml:space="preserve"> - TVA aferentă taxei de participare la curs, dacă este cazul, pe baza ordinului de plată, a extrasului de cont, a decontului special de TVA și a unei declarații pe proprie răspundere din care să rezulte caracterul nerecuperabil al taxei pe valoarea adăugată.</t>
  </si>
  <si>
    <t>Pentru deplasarea efectuată în țară, dacă o unitate își desemnează doi 2 participanți pentru participarea la activitatea de instruire și aceștia se deplasează fiecare cu câte un autoturism,  cheltuiala de transport se decontează, în condițiile mai sus-menționate, o singură dată, pentru un singur autoturism și va fi trecută în decontul unui singur participant.</t>
  </si>
  <si>
    <t>Pentru deplasarea efectuată în comun, în străinătate, de către mai mulți membri ai grupului cu un singur mijloc de transport, pentru care s-a emis un singur document de plată, fiecare participant își va deconta proporțional partea din contravaloarea totală a transportului, menționând numele și prenumele tuturor celorlalți participanți. Persoanele participante vor face mențiunea "Documentul original se află la .........." pe copia conformă cu originalul anexată la documentele justificative.</t>
  </si>
  <si>
    <t>Fișierele originale format pdf sunt semnate cu semnătură electronică extinsă, utilizând un certificat digital calificat, de către reprezentantul legal sau împuternicitul acestuia.</t>
  </si>
  <si>
    <t xml:space="preserve">Anexăm în format electronic toate documentele justificative aferente deplasării (ordin de deplasare, decont, boarding pass-uri, facturi cazare, bonuri fiscale alimentare combustibil, facturi/bonuri/tichete transfer aeroport și dovada plății, dispoziții de plată acordare avansuri spre decontare/ordin de plată, filă registru de casă, extras de cont, dispozitii de plată diferență cheltuieli deplasare/încasare avansuri neutilizate, filă registru de casă, extras de cont, etc.),  pentru fiecare participant în parte, opisate pe prima pagină a documentului pdf. Pentru decontarea taxei de participare la cursuri anexăm factura de formare profesională și documentele de plată (ordin de plată și extras de cont). Pentru decontarea TVA aferentă taxei de participare la activitățile de instruire anexăm ordinul de plată TVA, extrasul de cont, declarația pe proprie răspundere din care să rezulte caracterul nerecuperabil al taxei pe valoarea adăugată și decontul special de TVA.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</si>
</sst>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0"/>
    <numFmt numFmtId="165" formatCode="#,##0.00\ [$lei-418]"/>
    <numFmt numFmtId="166" formatCode="#,##0.0000"/>
    <numFmt numFmtId="167" formatCode="dd\.mm\.yyyy"/>
    <numFmt numFmtId="168" formatCode="\(#,##0\)"/>
    <numFmt numFmtId="169" formatCode="#,##0.00\ [$€-1]"/>
  </numFmts>
  <fonts count="25">
    <font>
      <sz val="11"/>
      <color theme="1"/>
      <name val="Calibri"/>
      <family val="2"/>
      <scheme val="minor"/>
    </font>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sz val="11"/>
      <color rgb="FFFF0000"/>
      <name val="Calibri"/>
      <family val="2"/>
      <scheme val="minor"/>
    </font>
    <font>
      <b/>
      <sz val="9"/>
      <color indexed="81"/>
      <name val="Segoe UI"/>
      <family val="2"/>
    </font>
    <font>
      <sz val="11"/>
      <name val="Calibri"/>
      <family val="2"/>
      <scheme val="minor"/>
    </font>
    <font>
      <b/>
      <sz val="11"/>
      <color theme="1"/>
      <name val="Arial"/>
      <family val="2"/>
    </font>
    <font>
      <sz val="11"/>
      <color rgb="FF000000"/>
      <name val="Times New Roman"/>
      <family val="1"/>
    </font>
    <font>
      <sz val="10"/>
      <name val="Arial"/>
      <family val="2"/>
    </font>
    <font>
      <sz val="10"/>
      <name val="Arial Unicode MS"/>
    </font>
    <font>
      <b/>
      <sz val="10"/>
      <color indexed="8"/>
      <name val="Arial Unicode MS"/>
    </font>
    <font>
      <i/>
      <sz val="10"/>
      <color indexed="8"/>
      <name val="Arial Unicode MS"/>
    </font>
    <font>
      <sz val="10"/>
      <color indexed="23"/>
      <name val="Arial Unicode MS"/>
    </font>
    <font>
      <sz val="11"/>
      <color theme="1"/>
      <name val="Arial"/>
      <family val="2"/>
    </font>
    <font>
      <b/>
      <sz val="12"/>
      <color theme="1"/>
      <name val="Arial"/>
      <family val="2"/>
    </font>
    <font>
      <b/>
      <sz val="11"/>
      <color rgb="FFFF0000"/>
      <name val="Arial"/>
      <family val="2"/>
    </font>
    <font>
      <sz val="11"/>
      <name val="Arial"/>
      <family val="2"/>
    </font>
    <font>
      <sz val="11"/>
      <color rgb="FFFF0000"/>
      <name val="Arial"/>
      <family val="2"/>
    </font>
    <font>
      <b/>
      <sz val="11"/>
      <name val="Arial"/>
      <family val="2"/>
    </font>
    <font>
      <b/>
      <sz val="12"/>
      <color rgb="FFFF0000"/>
      <name val="Arial"/>
      <family val="2"/>
    </font>
    <font>
      <sz val="8"/>
      <name val="Calibri"/>
      <family val="2"/>
      <scheme val="minor"/>
    </font>
    <font>
      <b/>
      <sz val="10"/>
      <color theme="1"/>
      <name val="Arial"/>
      <family val="2"/>
    </font>
    <font>
      <i/>
      <sz val="11"/>
      <name val="Arial"/>
      <family val="2"/>
    </font>
  </fonts>
  <fills count="11">
    <fill>
      <patternFill patternType="none"/>
    </fill>
    <fill>
      <patternFill patternType="gray125"/>
    </fill>
    <fill>
      <patternFill patternType="solid">
        <fgColor theme="0" tint="-4.9989318521683403E-2"/>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rgb="FF92D050"/>
        <bgColor indexed="64"/>
      </patternFill>
    </fill>
    <fill>
      <patternFill patternType="solid">
        <fgColor theme="9" tint="0.39997558519241921"/>
        <bgColor indexed="64"/>
      </patternFill>
    </fill>
    <fill>
      <patternFill patternType="solid">
        <fgColor theme="6" tint="0.79998168889431442"/>
        <bgColor indexed="64"/>
      </patternFill>
    </fill>
    <fill>
      <patternFill patternType="solid">
        <fgColor theme="0"/>
        <bgColor indexed="64"/>
      </patternFill>
    </fill>
  </fills>
  <borders count="25">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style="thin">
        <color indexed="64"/>
      </left>
      <right style="thin">
        <color indexed="64"/>
      </right>
      <top style="thin">
        <color indexed="64"/>
      </top>
      <bottom/>
      <diagonal/>
    </border>
    <border>
      <left/>
      <right/>
      <top style="thin">
        <color indexed="64"/>
      </top>
      <bottom style="double">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1" fillId="0" borderId="0"/>
    <xf numFmtId="0" fontId="10" fillId="0" borderId="0"/>
  </cellStyleXfs>
  <cellXfs count="224">
    <xf numFmtId="0" fontId="0" fillId="0" borderId="0" xfId="0"/>
    <xf numFmtId="0" fontId="2" fillId="0" borderId="2" xfId="0" applyFont="1" applyBorder="1" applyAlignment="1">
      <alignment vertical="center" wrapText="1"/>
    </xf>
    <xf numFmtId="0" fontId="0" fillId="0" borderId="2" xfId="0" applyBorder="1" applyAlignment="1">
      <alignment vertical="center" wrapText="1"/>
    </xf>
    <xf numFmtId="0" fontId="2" fillId="0" borderId="0" xfId="0" applyFont="1" applyAlignment="1">
      <alignment vertical="center" wrapText="1"/>
    </xf>
    <xf numFmtId="0" fontId="0" fillId="0" borderId="0" xfId="0" applyAlignment="1">
      <alignment vertical="center" wrapText="1"/>
    </xf>
    <xf numFmtId="0" fontId="0" fillId="2" borderId="0" xfId="0" applyFill="1" applyAlignment="1">
      <alignment vertical="center" wrapText="1"/>
    </xf>
    <xf numFmtId="0" fontId="0" fillId="4" borderId="2" xfId="0" applyFill="1" applyBorder="1" applyAlignment="1">
      <alignment vertical="center" wrapText="1"/>
    </xf>
    <xf numFmtId="0" fontId="2" fillId="5" borderId="0" xfId="0" applyFont="1" applyFill="1" applyAlignment="1">
      <alignment vertical="center"/>
    </xf>
    <xf numFmtId="0" fontId="8" fillId="0" borderId="0" xfId="0" applyFont="1" applyAlignment="1">
      <alignment vertical="center"/>
    </xf>
    <xf numFmtId="0" fontId="0" fillId="0" borderId="0" xfId="0" applyAlignment="1">
      <alignment horizontal="center"/>
    </xf>
    <xf numFmtId="0" fontId="9" fillId="2" borderId="12" xfId="0" applyFont="1" applyFill="1" applyBorder="1" applyAlignment="1">
      <alignment horizontal="center" vertical="center" wrapText="1"/>
    </xf>
    <xf numFmtId="0" fontId="9" fillId="2" borderId="14" xfId="0" applyFont="1" applyFill="1" applyBorder="1" applyAlignment="1">
      <alignment vertical="center" wrapText="1"/>
    </xf>
    <xf numFmtId="0" fontId="9" fillId="2" borderId="13" xfId="0" applyFont="1" applyFill="1" applyBorder="1" applyAlignment="1">
      <alignment vertical="center" wrapText="1"/>
    </xf>
    <xf numFmtId="0" fontId="9" fillId="2" borderId="11" xfId="0" applyFont="1" applyFill="1" applyBorder="1" applyAlignment="1">
      <alignment vertical="center" wrapText="1"/>
    </xf>
    <xf numFmtId="166" fontId="11" fillId="0" borderId="0" xfId="2" applyNumberFormat="1" applyFont="1"/>
    <xf numFmtId="167" fontId="11" fillId="0" borderId="0" xfId="2" applyNumberFormat="1" applyFont="1"/>
    <xf numFmtId="0" fontId="9" fillId="2" borderId="10" xfId="0" applyFont="1" applyFill="1" applyBorder="1" applyAlignment="1">
      <alignment horizontal="center" vertical="center" wrapText="1"/>
    </xf>
    <xf numFmtId="0" fontId="13" fillId="0" borderId="0" xfId="2" applyFont="1" applyAlignment="1">
      <alignment horizontal="center"/>
    </xf>
    <xf numFmtId="0" fontId="14" fillId="0" borderId="0" xfId="2" applyFont="1" applyAlignment="1">
      <alignment horizontal="center"/>
    </xf>
    <xf numFmtId="0" fontId="0" fillId="8" borderId="0" xfId="0" applyFill="1" applyAlignment="1">
      <alignment horizontal="left"/>
    </xf>
    <xf numFmtId="0" fontId="0" fillId="8" borderId="0" xfId="0" applyFill="1"/>
    <xf numFmtId="0" fontId="2" fillId="8" borderId="0" xfId="0" applyFont="1" applyFill="1" applyAlignment="1">
      <alignment vertical="center" wrapText="1"/>
    </xf>
    <xf numFmtId="0" fontId="0" fillId="2" borderId="0" xfId="0" applyFill="1"/>
    <xf numFmtId="0" fontId="12" fillId="7" borderId="0" xfId="2" applyFont="1" applyFill="1" applyAlignment="1">
      <alignment horizontal="center" vertical="top" wrapText="1"/>
    </xf>
    <xf numFmtId="167" fontId="11" fillId="2" borderId="0" xfId="2" applyNumberFormat="1" applyFont="1" applyFill="1"/>
    <xf numFmtId="166" fontId="11" fillId="2" borderId="0" xfId="2" applyNumberFormat="1" applyFont="1" applyFill="1"/>
    <xf numFmtId="0" fontId="9" fillId="2" borderId="12" xfId="0" applyFont="1" applyFill="1" applyBorder="1" applyAlignment="1">
      <alignment vertical="center" wrapText="1"/>
    </xf>
    <xf numFmtId="0" fontId="9" fillId="6" borderId="10" xfId="0" applyFont="1" applyFill="1" applyBorder="1" applyAlignment="1">
      <alignment horizontal="center" vertical="center" wrapText="1"/>
    </xf>
    <xf numFmtId="0" fontId="9" fillId="6" borderId="12" xfId="0" applyFont="1" applyFill="1" applyBorder="1" applyAlignment="1">
      <alignment vertical="center" wrapText="1"/>
    </xf>
    <xf numFmtId="0" fontId="2" fillId="0" borderId="0" xfId="0" applyFont="1" applyAlignment="1">
      <alignment horizontal="left" vertical="center" wrapText="1"/>
    </xf>
    <xf numFmtId="0" fontId="2" fillId="0" borderId="0" xfId="0" applyFont="1" applyAlignment="1">
      <alignment horizontal="center"/>
    </xf>
    <xf numFmtId="0" fontId="15" fillId="0" borderId="0" xfId="0" applyFont="1" applyAlignment="1">
      <alignment vertical="center"/>
    </xf>
    <xf numFmtId="0" fontId="15" fillId="0" borderId="2" xfId="0" applyFont="1" applyBorder="1" applyAlignment="1" applyProtection="1">
      <alignment vertical="center"/>
      <protection locked="0"/>
    </xf>
    <xf numFmtId="0" fontId="15" fillId="0" borderId="0" xfId="0" applyFont="1"/>
    <xf numFmtId="0" fontId="15" fillId="0" borderId="0" xfId="0" applyFont="1" applyAlignment="1">
      <alignment vertical="center" wrapText="1"/>
    </xf>
    <xf numFmtId="0" fontId="0" fillId="0" borderId="4" xfId="0" applyBorder="1" applyAlignment="1">
      <alignment vertical="center" wrapText="1"/>
    </xf>
    <xf numFmtId="0" fontId="0" fillId="0" borderId="7" xfId="0" applyBorder="1" applyAlignment="1">
      <alignment vertical="center" wrapText="1"/>
    </xf>
    <xf numFmtId="0" fontId="0" fillId="0" borderId="5" xfId="0" applyBorder="1" applyAlignment="1">
      <alignment vertical="center" wrapText="1"/>
    </xf>
    <xf numFmtId="0" fontId="0" fillId="2" borderId="0" xfId="0" applyFill="1" applyAlignment="1">
      <alignment vertical="center"/>
    </xf>
    <xf numFmtId="0" fontId="0" fillId="5" borderId="0" xfId="0" applyFill="1" applyAlignment="1">
      <alignment vertical="center"/>
    </xf>
    <xf numFmtId="0" fontId="0" fillId="5" borderId="0" xfId="0" applyFill="1"/>
    <xf numFmtId="0" fontId="2" fillId="0" borderId="5" xfId="0" applyFont="1" applyBorder="1" applyAlignment="1">
      <alignment vertical="center" wrapText="1"/>
    </xf>
    <xf numFmtId="0" fontId="5" fillId="0" borderId="4" xfId="0" applyFont="1" applyBorder="1" applyAlignment="1">
      <alignment vertical="center" wrapText="1"/>
    </xf>
    <xf numFmtId="0" fontId="7" fillId="0" borderId="7" xfId="0" applyFont="1" applyBorder="1" applyAlignment="1">
      <alignment vertical="center" wrapText="1"/>
    </xf>
    <xf numFmtId="0" fontId="2" fillId="5" borderId="0" xfId="0" applyFont="1" applyFill="1" applyAlignment="1">
      <alignment vertical="center" wrapText="1"/>
    </xf>
    <xf numFmtId="0" fontId="8" fillId="0" borderId="0" xfId="0" applyFont="1" applyAlignment="1">
      <alignment vertical="center" wrapText="1"/>
    </xf>
    <xf numFmtId="0" fontId="15" fillId="0" borderId="0" xfId="0" applyFont="1" applyAlignment="1">
      <alignment horizontal="left" vertical="center" wrapText="1"/>
    </xf>
    <xf numFmtId="0" fontId="16" fillId="0" borderId="0" xfId="0" applyFont="1"/>
    <xf numFmtId="0" fontId="15" fillId="0" borderId="2" xfId="0" applyFont="1" applyBorder="1" applyAlignment="1" applyProtection="1">
      <alignment horizontal="center" vertical="center" wrapText="1"/>
      <protection locked="0"/>
    </xf>
    <xf numFmtId="0" fontId="2" fillId="0" borderId="0" xfId="0" applyFont="1" applyAlignment="1">
      <alignment horizontal="center" vertical="center" wrapText="1"/>
    </xf>
    <xf numFmtId="22" fontId="2" fillId="4" borderId="2" xfId="0" applyNumberFormat="1" applyFont="1" applyFill="1" applyBorder="1" applyAlignment="1">
      <alignment vertical="center" wrapText="1"/>
    </xf>
    <xf numFmtId="14" fontId="2" fillId="4" borderId="2" xfId="0" applyNumberFormat="1" applyFont="1" applyFill="1" applyBorder="1" applyAlignment="1">
      <alignment vertical="center" wrapText="1"/>
    </xf>
    <xf numFmtId="22" fontId="2" fillId="4" borderId="4" xfId="0" applyNumberFormat="1" applyFont="1" applyFill="1" applyBorder="1" applyAlignment="1">
      <alignment vertical="center" wrapText="1"/>
    </xf>
    <xf numFmtId="0" fontId="0" fillId="4" borderId="4" xfId="0" applyFill="1" applyBorder="1" applyAlignment="1">
      <alignment horizontal="left" vertical="center" wrapText="1"/>
    </xf>
    <xf numFmtId="0" fontId="0" fillId="4" borderId="4" xfId="0" applyFill="1" applyBorder="1" applyAlignment="1">
      <alignment vertical="center" wrapText="1"/>
    </xf>
    <xf numFmtId="0" fontId="0" fillId="4" borderId="7" xfId="0" applyFill="1" applyBorder="1" applyAlignment="1">
      <alignment vertical="center" wrapText="1"/>
    </xf>
    <xf numFmtId="0" fontId="0" fillId="4" borderId="15" xfId="0" applyFill="1" applyBorder="1" applyAlignment="1">
      <alignment vertical="center" wrapText="1"/>
    </xf>
    <xf numFmtId="0" fontId="0" fillId="4" borderId="16" xfId="0" applyFill="1" applyBorder="1" applyAlignment="1">
      <alignment vertical="center" wrapText="1"/>
    </xf>
    <xf numFmtId="0" fontId="16" fillId="8" borderId="0" xfId="0" applyFont="1" applyFill="1" applyAlignment="1">
      <alignment horizontal="center" vertical="center"/>
    </xf>
    <xf numFmtId="0" fontId="17" fillId="2" borderId="0" xfId="0" applyFont="1" applyFill="1" applyAlignment="1">
      <alignment horizontal="center" vertical="center" wrapText="1"/>
    </xf>
    <xf numFmtId="168" fontId="15" fillId="4" borderId="0" xfId="0" applyNumberFormat="1" applyFont="1" applyFill="1" applyAlignment="1">
      <alignment horizontal="center" vertical="center"/>
    </xf>
    <xf numFmtId="0" fontId="15" fillId="4" borderId="2" xfId="0" applyFont="1" applyFill="1" applyBorder="1" applyAlignment="1">
      <alignment vertical="center" wrapText="1"/>
    </xf>
    <xf numFmtId="0" fontId="15" fillId="4" borderId="2" xfId="0" applyFont="1" applyFill="1" applyBorder="1" applyAlignment="1">
      <alignment horizontal="center" vertical="center" wrapText="1"/>
    </xf>
    <xf numFmtId="0" fontId="15" fillId="0" borderId="2" xfId="0" applyFont="1" applyBorder="1" applyAlignment="1">
      <alignment horizontal="center" vertical="center" wrapText="1"/>
    </xf>
    <xf numFmtId="0" fontId="15" fillId="4" borderId="2" xfId="0" applyFont="1" applyFill="1" applyBorder="1" applyAlignment="1">
      <alignment horizontal="center" vertical="center"/>
    </xf>
    <xf numFmtId="0" fontId="15" fillId="4" borderId="2" xfId="1" applyFont="1" applyFill="1" applyBorder="1" applyAlignment="1">
      <alignment horizontal="left" vertical="center" wrapText="1"/>
    </xf>
    <xf numFmtId="0" fontId="15" fillId="0" borderId="2" xfId="0" applyFont="1" applyBorder="1" applyAlignment="1">
      <alignment vertical="center"/>
    </xf>
    <xf numFmtId="0" fontId="15" fillId="4" borderId="2" xfId="1" applyFont="1" applyFill="1" applyBorder="1" applyAlignment="1">
      <alignment vertical="center" wrapText="1"/>
    </xf>
    <xf numFmtId="0" fontId="18" fillId="0" borderId="0" xfId="0" applyFont="1" applyAlignment="1">
      <alignment vertical="center"/>
    </xf>
    <xf numFmtId="0" fontId="8" fillId="5" borderId="0" xfId="1" applyFont="1" applyFill="1" applyAlignment="1">
      <alignment horizontal="center" vertical="center" wrapText="1"/>
    </xf>
    <xf numFmtId="0" fontId="19" fillId="3" borderId="0" xfId="0" applyFont="1" applyFill="1" applyAlignment="1">
      <alignment horizontal="center" vertical="center" wrapText="1"/>
    </xf>
    <xf numFmtId="0" fontId="15" fillId="3" borderId="2" xfId="0" applyFont="1" applyFill="1" applyBorder="1" applyAlignment="1">
      <alignment horizontal="center" vertical="center" wrapText="1"/>
    </xf>
    <xf numFmtId="0" fontId="15" fillId="4" borderId="1" xfId="1" applyFont="1" applyFill="1" applyBorder="1" applyAlignment="1">
      <alignment horizontal="left" vertical="center" wrapText="1"/>
    </xf>
    <xf numFmtId="0" fontId="18" fillId="4" borderId="2" xfId="1" applyFont="1" applyFill="1" applyBorder="1" applyAlignment="1">
      <alignment horizontal="left" vertical="center" wrapText="1"/>
    </xf>
    <xf numFmtId="0" fontId="19" fillId="2" borderId="0" xfId="0" applyFont="1" applyFill="1" applyAlignment="1">
      <alignment horizontal="left" vertical="center"/>
    </xf>
    <xf numFmtId="0" fontId="15" fillId="4" borderId="2" xfId="0" applyFont="1" applyFill="1" applyBorder="1" applyAlignment="1">
      <alignment horizontal="left" vertical="center" wrapText="1"/>
    </xf>
    <xf numFmtId="0" fontId="8" fillId="3" borderId="2" xfId="1" applyFont="1" applyFill="1" applyBorder="1" applyAlignment="1">
      <alignment horizontal="center" vertical="center"/>
    </xf>
    <xf numFmtId="165" fontId="8" fillId="4" borderId="2" xfId="1" applyNumberFormat="1" applyFont="1" applyFill="1" applyBorder="1" applyAlignment="1">
      <alignment vertical="center"/>
    </xf>
    <xf numFmtId="165" fontId="16" fillId="4" borderId="2" xfId="0" applyNumberFormat="1" applyFont="1" applyFill="1" applyBorder="1" applyAlignment="1">
      <alignment vertical="center"/>
    </xf>
    <xf numFmtId="0" fontId="8" fillId="0" borderId="0" xfId="1" applyFont="1" applyAlignment="1">
      <alignment vertical="center"/>
    </xf>
    <xf numFmtId="0" fontId="15" fillId="0" borderId="0" xfId="0" applyFont="1" applyAlignment="1">
      <alignment horizontal="center" vertical="center" wrapText="1"/>
    </xf>
    <xf numFmtId="22" fontId="15" fillId="4" borderId="2" xfId="1" applyNumberFormat="1" applyFont="1" applyFill="1" applyBorder="1" applyAlignment="1">
      <alignment horizontal="center" vertical="center"/>
    </xf>
    <xf numFmtId="0" fontId="15" fillId="8" borderId="0" xfId="0" applyFont="1" applyFill="1" applyAlignment="1">
      <alignment horizontal="center" vertical="center"/>
    </xf>
    <xf numFmtId="0" fontId="17" fillId="2" borderId="0" xfId="0" applyFont="1" applyFill="1" applyAlignment="1">
      <alignment horizontal="left" vertical="center" wrapText="1"/>
    </xf>
    <xf numFmtId="0" fontId="15" fillId="2" borderId="0" xfId="0" applyFont="1" applyFill="1" applyAlignment="1">
      <alignment horizontal="left" vertical="center"/>
    </xf>
    <xf numFmtId="0" fontId="19" fillId="2" borderId="0" xfId="0" applyFont="1" applyFill="1" applyAlignment="1">
      <alignment horizontal="left"/>
    </xf>
    <xf numFmtId="0" fontId="15" fillId="0" borderId="0" xfId="0" applyFont="1" applyAlignment="1">
      <alignment horizontal="left" vertical="center"/>
    </xf>
    <xf numFmtId="0" fontId="15" fillId="4" borderId="2" xfId="0" applyFont="1" applyFill="1" applyBorder="1" applyAlignment="1">
      <alignment vertical="center"/>
    </xf>
    <xf numFmtId="2" fontId="0" fillId="4" borderId="4" xfId="0" applyNumberFormat="1" applyFill="1" applyBorder="1" applyAlignment="1">
      <alignment vertical="center" wrapText="1"/>
    </xf>
    <xf numFmtId="0" fontId="18" fillId="0" borderId="0" xfId="0" applyFont="1" applyAlignment="1">
      <alignment vertical="center" wrapText="1"/>
    </xf>
    <xf numFmtId="0" fontId="15" fillId="0" borderId="0" xfId="0" applyFont="1" applyAlignment="1">
      <alignment wrapText="1"/>
    </xf>
    <xf numFmtId="0" fontId="16" fillId="0" borderId="0" xfId="0" applyFont="1" applyAlignment="1">
      <alignment vertical="center"/>
    </xf>
    <xf numFmtId="165" fontId="17" fillId="0" borderId="0" xfId="0" applyNumberFormat="1" applyFont="1" applyAlignment="1">
      <alignment vertical="center"/>
    </xf>
    <xf numFmtId="0" fontId="17" fillId="0" borderId="0" xfId="0" applyFont="1" applyAlignment="1">
      <alignment vertical="center" wrapText="1"/>
    </xf>
    <xf numFmtId="0" fontId="15" fillId="8" borderId="0" xfId="0" applyFont="1" applyFill="1" applyAlignment="1">
      <alignment horizontal="center" vertical="center" wrapText="1"/>
    </xf>
    <xf numFmtId="0" fontId="16" fillId="4" borderId="2" xfId="0" applyFont="1" applyFill="1" applyBorder="1" applyAlignment="1">
      <alignment horizontal="center" vertical="center" wrapText="1"/>
    </xf>
    <xf numFmtId="0" fontId="8" fillId="0" borderId="0" xfId="1" applyFont="1" applyAlignment="1">
      <alignment vertical="center" wrapText="1"/>
    </xf>
    <xf numFmtId="0" fontId="15" fillId="0" borderId="2" xfId="0" applyFont="1" applyBorder="1" applyAlignment="1" applyProtection="1">
      <alignment vertical="center" wrapText="1"/>
      <protection locked="0"/>
    </xf>
    <xf numFmtId="0" fontId="8" fillId="4" borderId="2" xfId="1" applyFont="1" applyFill="1" applyBorder="1" applyAlignment="1">
      <alignment horizontal="left" vertical="center" wrapText="1"/>
    </xf>
    <xf numFmtId="0" fontId="0" fillId="4" borderId="7" xfId="0" applyFill="1" applyBorder="1"/>
    <xf numFmtId="1" fontId="0" fillId="4" borderId="4" xfId="0" applyNumberFormat="1" applyFill="1" applyBorder="1" applyAlignment="1">
      <alignment vertical="center" wrapText="1"/>
    </xf>
    <xf numFmtId="164" fontId="0" fillId="0" borderId="0" xfId="0" applyNumberFormat="1"/>
    <xf numFmtId="1" fontId="0" fillId="4" borderId="7" xfId="0" applyNumberFormat="1" applyFill="1" applyBorder="1"/>
    <xf numFmtId="0" fontId="0" fillId="4" borderId="2" xfId="0" applyFill="1" applyBorder="1" applyAlignment="1">
      <alignment horizontal="center" vertical="center" wrapText="1"/>
    </xf>
    <xf numFmtId="0" fontId="19" fillId="0" borderId="0" xfId="0" applyFont="1" applyAlignment="1">
      <alignment vertical="center"/>
    </xf>
    <xf numFmtId="0" fontId="18" fillId="0" borderId="0" xfId="0" applyFont="1"/>
    <xf numFmtId="0" fontId="20" fillId="0" borderId="0" xfId="0" applyFont="1" applyAlignment="1">
      <alignment vertical="center" wrapText="1"/>
    </xf>
    <xf numFmtId="0" fontId="19" fillId="0" borderId="0" xfId="0" applyFont="1" applyAlignment="1">
      <alignment horizontal="center" vertical="center"/>
    </xf>
    <xf numFmtId="0" fontId="15" fillId="3" borderId="2" xfId="0" applyFont="1" applyFill="1" applyBorder="1" applyAlignment="1">
      <alignment horizontal="center"/>
    </xf>
    <xf numFmtId="0" fontId="15" fillId="0" borderId="2" xfId="0" applyFont="1" applyBorder="1" applyAlignment="1" applyProtection="1">
      <alignment horizontal="left" vertical="center" wrapText="1"/>
      <protection locked="0"/>
    </xf>
    <xf numFmtId="49" fontId="15" fillId="0" borderId="2" xfId="0" applyNumberFormat="1" applyFont="1" applyBorder="1" applyAlignment="1" applyProtection="1">
      <alignment horizontal="left" vertical="center" wrapText="1"/>
      <protection locked="0"/>
    </xf>
    <xf numFmtId="49" fontId="15" fillId="0" borderId="3" xfId="0" applyNumberFormat="1" applyFont="1" applyBorder="1" applyAlignment="1" applyProtection="1">
      <alignment horizontal="left" vertical="center" wrapText="1"/>
      <protection locked="0"/>
    </xf>
    <xf numFmtId="0" fontId="19" fillId="9" borderId="2" xfId="1" applyFont="1" applyFill="1" applyBorder="1" applyAlignment="1">
      <alignment horizontal="left" vertical="center" wrapText="1"/>
    </xf>
    <xf numFmtId="0" fontId="19" fillId="0" borderId="0" xfId="0" applyFont="1" applyAlignment="1">
      <alignment horizontal="center" vertical="center" wrapText="1"/>
    </xf>
    <xf numFmtId="0" fontId="15" fillId="0" borderId="17" xfId="0" applyFont="1" applyBorder="1" applyAlignment="1">
      <alignment vertical="center"/>
    </xf>
    <xf numFmtId="0" fontId="8" fillId="0" borderId="17" xfId="0" applyFont="1" applyBorder="1" applyAlignment="1">
      <alignment vertical="center"/>
    </xf>
    <xf numFmtId="4" fontId="8" fillId="0" borderId="0" xfId="0" applyNumberFormat="1" applyFont="1" applyAlignment="1">
      <alignment vertical="center"/>
    </xf>
    <xf numFmtId="0" fontId="8" fillId="0" borderId="0" xfId="0" quotePrefix="1" applyFont="1" applyAlignment="1">
      <alignment vertical="center"/>
    </xf>
    <xf numFmtId="0" fontId="8" fillId="0" borderId="0" xfId="0" applyFont="1" applyAlignment="1">
      <alignment horizontal="left" vertical="center"/>
    </xf>
    <xf numFmtId="0" fontId="20" fillId="0" borderId="0" xfId="0" applyFont="1" applyAlignment="1">
      <alignment horizontal="center" vertical="center" wrapText="1"/>
    </xf>
    <xf numFmtId="0" fontId="15" fillId="4" borderId="1" xfId="0" applyFont="1" applyFill="1" applyBorder="1" applyAlignment="1">
      <alignment vertical="center"/>
    </xf>
    <xf numFmtId="0" fontId="19" fillId="2" borderId="0" xfId="0" applyFont="1" applyFill="1" applyAlignment="1">
      <alignment horizontal="center" vertical="center"/>
    </xf>
    <xf numFmtId="0" fontId="19" fillId="2" borderId="0" xfId="0" applyFont="1" applyFill="1" applyAlignment="1">
      <alignment vertical="center"/>
    </xf>
    <xf numFmtId="0" fontId="18" fillId="0" borderId="0" xfId="0" applyFont="1" applyAlignment="1">
      <alignment horizontal="left" vertical="center"/>
    </xf>
    <xf numFmtId="0" fontId="18" fillId="0" borderId="2" xfId="0" applyFont="1" applyBorder="1" applyAlignment="1">
      <alignment vertical="center"/>
    </xf>
    <xf numFmtId="0" fontId="18" fillId="0" borderId="2" xfId="0" applyFont="1" applyBorder="1" applyAlignment="1">
      <alignment horizontal="center" vertical="center"/>
    </xf>
    <xf numFmtId="165" fontId="20" fillId="0" borderId="2" xfId="0" applyNumberFormat="1" applyFont="1" applyBorder="1" applyAlignment="1">
      <alignment vertical="center"/>
    </xf>
    <xf numFmtId="0" fontId="20" fillId="0" borderId="2" xfId="0" applyFont="1" applyBorder="1" applyAlignment="1">
      <alignment horizontal="center" vertical="center"/>
    </xf>
    <xf numFmtId="0" fontId="8" fillId="0" borderId="0" xfId="0" applyFont="1" applyAlignment="1">
      <alignment horizontal="left" vertical="center" wrapText="1"/>
    </xf>
    <xf numFmtId="0" fontId="8" fillId="0" borderId="0" xfId="0" applyFont="1"/>
    <xf numFmtId="165" fontId="18" fillId="0" borderId="2" xfId="0" applyNumberFormat="1" applyFont="1" applyBorder="1" applyAlignment="1" applyProtection="1">
      <alignment vertical="center"/>
      <protection locked="0"/>
    </xf>
    <xf numFmtId="0" fontId="21" fillId="0" borderId="0" xfId="0" applyFont="1" applyAlignment="1">
      <alignment horizontal="center" vertical="center"/>
    </xf>
    <xf numFmtId="0" fontId="19" fillId="2" borderId="0" xfId="0" applyFont="1" applyFill="1" applyAlignment="1">
      <alignment horizontal="center"/>
    </xf>
    <xf numFmtId="0" fontId="8" fillId="0" borderId="0" xfId="0" applyFont="1" applyAlignment="1">
      <alignment horizontal="center" vertical="center"/>
    </xf>
    <xf numFmtId="0" fontId="8" fillId="5" borderId="6" xfId="1" applyFont="1" applyFill="1" applyBorder="1" applyAlignment="1">
      <alignment horizontal="center" vertical="center" wrapText="1"/>
    </xf>
    <xf numFmtId="2" fontId="15" fillId="0" borderId="2" xfId="0" applyNumberFormat="1" applyFont="1" applyBorder="1" applyAlignment="1" applyProtection="1">
      <alignment horizontal="center" vertical="center" wrapText="1"/>
      <protection locked="0"/>
    </xf>
    <xf numFmtId="0" fontId="15" fillId="0" borderId="2" xfId="0" applyFont="1" applyBorder="1" applyAlignment="1" applyProtection="1">
      <alignment horizontal="center" vertical="center"/>
      <protection locked="0"/>
    </xf>
    <xf numFmtId="0" fontId="15" fillId="0" borderId="3" xfId="0" applyFont="1" applyBorder="1" applyAlignment="1" applyProtection="1">
      <alignment vertical="center" wrapText="1"/>
      <protection locked="0"/>
    </xf>
    <xf numFmtId="0" fontId="15" fillId="4" borderId="15" xfId="1" applyFont="1" applyFill="1" applyBorder="1" applyAlignment="1">
      <alignment vertical="center" wrapText="1"/>
    </xf>
    <xf numFmtId="164" fontId="15" fillId="10" borderId="15" xfId="1" applyNumberFormat="1" applyFont="1" applyFill="1" applyBorder="1" applyAlignment="1" applyProtection="1">
      <alignment horizontal="center" vertical="center"/>
      <protection locked="0"/>
    </xf>
    <xf numFmtId="0" fontId="15" fillId="4" borderId="15" xfId="0" applyFont="1" applyFill="1" applyBorder="1" applyAlignment="1">
      <alignment horizontal="center" vertical="center"/>
    </xf>
    <xf numFmtId="0" fontId="15" fillId="4" borderId="4" xfId="1" applyFont="1" applyFill="1" applyBorder="1" applyAlignment="1">
      <alignment vertical="center" wrapText="1"/>
    </xf>
    <xf numFmtId="22" fontId="15" fillId="0" borderId="4" xfId="1" applyNumberFormat="1" applyFont="1" applyBorder="1" applyAlignment="1" applyProtection="1">
      <alignment horizontal="center" vertical="center"/>
      <protection locked="0"/>
    </xf>
    <xf numFmtId="22" fontId="15" fillId="4" borderId="4" xfId="1" applyNumberFormat="1" applyFont="1" applyFill="1" applyBorder="1" applyAlignment="1">
      <alignment horizontal="center" vertical="center"/>
    </xf>
    <xf numFmtId="0" fontId="15" fillId="0" borderId="4" xfId="0" applyFont="1" applyBorder="1" applyAlignment="1" applyProtection="1">
      <alignment vertical="center" wrapText="1"/>
      <protection locked="0"/>
    </xf>
    <xf numFmtId="22" fontId="15" fillId="4" borderId="15" xfId="1" applyNumberFormat="1" applyFont="1" applyFill="1" applyBorder="1" applyAlignment="1">
      <alignment horizontal="center" vertical="center"/>
    </xf>
    <xf numFmtId="0" fontId="15" fillId="0" borderId="15" xfId="0" applyFont="1" applyBorder="1" applyAlignment="1" applyProtection="1">
      <alignment vertical="center" wrapText="1"/>
      <protection locked="0"/>
    </xf>
    <xf numFmtId="0" fontId="15" fillId="4" borderId="15" xfId="0" applyFont="1" applyFill="1" applyBorder="1" applyAlignment="1">
      <alignment vertical="center" wrapText="1"/>
    </xf>
    <xf numFmtId="14" fontId="15" fillId="0" borderId="15" xfId="0" applyNumberFormat="1" applyFont="1" applyBorder="1" applyAlignment="1" applyProtection="1">
      <alignment horizontal="center" vertical="center"/>
      <protection locked="0"/>
    </xf>
    <xf numFmtId="0" fontId="15" fillId="4" borderId="4" xfId="1" applyFont="1" applyFill="1" applyBorder="1" applyAlignment="1">
      <alignment horizontal="left" vertical="center" wrapText="1"/>
    </xf>
    <xf numFmtId="0" fontId="15" fillId="0" borderId="4" xfId="0" applyFont="1" applyBorder="1" applyAlignment="1" applyProtection="1">
      <alignment horizontal="center" vertical="center" wrapText="1"/>
      <protection locked="0"/>
    </xf>
    <xf numFmtId="0" fontId="15" fillId="4" borderId="5" xfId="1" applyFont="1" applyFill="1" applyBorder="1" applyAlignment="1">
      <alignment horizontal="left" vertical="center" wrapText="1"/>
    </xf>
    <xf numFmtId="0" fontId="15" fillId="0" borderId="5" xfId="0" applyFont="1" applyBorder="1" applyAlignment="1" applyProtection="1">
      <alignment horizontal="center" vertical="center" wrapText="1"/>
      <protection locked="0"/>
    </xf>
    <xf numFmtId="0" fontId="15" fillId="4" borderId="15" xfId="1" applyFont="1" applyFill="1" applyBorder="1" applyAlignment="1">
      <alignment horizontal="left" vertical="center" wrapText="1"/>
    </xf>
    <xf numFmtId="0" fontId="15" fillId="0" borderId="15" xfId="0" applyFont="1" applyBorder="1" applyAlignment="1" applyProtection="1">
      <alignment horizontal="center" vertical="center" wrapText="1"/>
      <protection locked="0"/>
    </xf>
    <xf numFmtId="0" fontId="15" fillId="0" borderId="4" xfId="0" applyFont="1" applyBorder="1" applyAlignment="1" applyProtection="1">
      <alignment horizontal="center" vertical="center"/>
      <protection locked="0"/>
    </xf>
    <xf numFmtId="0" fontId="15" fillId="4" borderId="4" xfId="0" applyFont="1" applyFill="1" applyBorder="1" applyAlignment="1">
      <alignment horizontal="center" vertical="center"/>
    </xf>
    <xf numFmtId="0" fontId="15" fillId="0" borderId="15" xfId="0" applyFont="1" applyBorder="1" applyAlignment="1" applyProtection="1">
      <alignment horizontal="center" vertical="center"/>
      <protection locked="0"/>
    </xf>
    <xf numFmtId="0" fontId="15" fillId="0" borderId="19" xfId="0" applyFont="1" applyBorder="1" applyAlignment="1" applyProtection="1">
      <alignment vertical="center" wrapText="1"/>
      <protection locked="0"/>
    </xf>
    <xf numFmtId="0" fontId="18" fillId="4" borderId="4" xfId="1" applyFont="1" applyFill="1" applyBorder="1" applyAlignment="1">
      <alignment horizontal="left" vertical="center" wrapText="1"/>
    </xf>
    <xf numFmtId="0" fontId="8" fillId="4" borderId="15" xfId="0" applyFont="1" applyFill="1" applyBorder="1" applyAlignment="1">
      <alignment vertical="center" wrapText="1"/>
    </xf>
    <xf numFmtId="0" fontId="18" fillId="4" borderId="15" xfId="1" applyFont="1" applyFill="1" applyBorder="1" applyAlignment="1">
      <alignment horizontal="left" vertical="center" wrapText="1"/>
    </xf>
    <xf numFmtId="169" fontId="15" fillId="0" borderId="2" xfId="1" applyNumberFormat="1" applyFont="1" applyBorder="1" applyAlignment="1" applyProtection="1">
      <alignment horizontal="right" vertical="center"/>
      <protection locked="0"/>
    </xf>
    <xf numFmtId="169" fontId="15" fillId="4" borderId="2" xfId="1" applyNumberFormat="1" applyFont="1" applyFill="1" applyBorder="1" applyAlignment="1">
      <alignment horizontal="right" vertical="center"/>
    </xf>
    <xf numFmtId="165" fontId="15" fillId="0" borderId="2" xfId="1" applyNumberFormat="1" applyFont="1" applyBorder="1" applyAlignment="1" applyProtection="1">
      <alignment vertical="center"/>
      <protection locked="0"/>
    </xf>
    <xf numFmtId="165" fontId="15" fillId="4" borderId="2" xfId="1" applyNumberFormat="1" applyFont="1" applyFill="1" applyBorder="1" applyAlignment="1">
      <alignment vertical="center"/>
    </xf>
    <xf numFmtId="165" fontId="15" fillId="4" borderId="0" xfId="0" applyNumberFormat="1" applyFont="1" applyFill="1" applyAlignment="1">
      <alignment vertical="center"/>
    </xf>
    <xf numFmtId="165" fontId="15" fillId="0" borderId="15" xfId="0" applyNumberFormat="1" applyFont="1" applyBorder="1" applyAlignment="1" applyProtection="1">
      <alignment horizontal="center" vertical="center" wrapText="1"/>
      <protection locked="0"/>
    </xf>
    <xf numFmtId="165" fontId="15" fillId="0" borderId="2" xfId="0" applyNumberFormat="1" applyFont="1" applyBorder="1" applyAlignment="1" applyProtection="1">
      <alignment horizontal="center" vertical="center" wrapText="1"/>
      <protection locked="0"/>
    </xf>
    <xf numFmtId="0" fontId="15" fillId="4" borderId="4" xfId="0" applyFont="1" applyFill="1" applyBorder="1" applyAlignment="1">
      <alignment horizontal="center" vertical="center" wrapText="1"/>
    </xf>
    <xf numFmtId="0" fontId="15" fillId="0" borderId="2" xfId="0" applyFont="1" applyBorder="1" applyAlignment="1" applyProtection="1">
      <alignment horizontal="justify" vertical="center" wrapText="1"/>
      <protection locked="0"/>
    </xf>
    <xf numFmtId="168" fontId="15" fillId="4" borderId="20" xfId="0" applyNumberFormat="1" applyFont="1" applyFill="1" applyBorder="1" applyAlignment="1">
      <alignment horizontal="center" vertical="center"/>
    </xf>
    <xf numFmtId="168" fontId="15" fillId="4" borderId="21" xfId="0" applyNumberFormat="1" applyFont="1" applyFill="1" applyBorder="1" applyAlignment="1">
      <alignment horizontal="center" vertical="center"/>
    </xf>
    <xf numFmtId="168" fontId="15" fillId="4" borderId="22" xfId="0" applyNumberFormat="1" applyFont="1" applyFill="1" applyBorder="1" applyAlignment="1">
      <alignment horizontal="center" vertical="center"/>
    </xf>
    <xf numFmtId="165" fontId="15" fillId="0" borderId="2" xfId="1" applyNumberFormat="1" applyFont="1" applyBorder="1" applyAlignment="1" applyProtection="1">
      <alignment horizontal="right" vertical="center"/>
      <protection locked="0"/>
    </xf>
    <xf numFmtId="1" fontId="0" fillId="4" borderId="2" xfId="0" applyNumberFormat="1" applyFill="1" applyBorder="1" applyAlignment="1">
      <alignment vertical="center" wrapText="1"/>
    </xf>
    <xf numFmtId="0" fontId="7" fillId="0" borderId="5" xfId="0" applyFont="1" applyBorder="1" applyAlignment="1">
      <alignment vertical="center" wrapText="1"/>
    </xf>
    <xf numFmtId="49" fontId="8" fillId="0" borderId="0" xfId="0" applyNumberFormat="1" applyFont="1" applyAlignment="1">
      <alignment vertical="center"/>
    </xf>
    <xf numFmtId="0" fontId="15" fillId="0" borderId="2" xfId="0" applyFont="1" applyBorder="1" applyProtection="1">
      <protection locked="0"/>
    </xf>
    <xf numFmtId="14" fontId="15" fillId="0" borderId="2" xfId="0" applyNumberFormat="1" applyFont="1" applyBorder="1" applyProtection="1">
      <protection locked="0"/>
    </xf>
    <xf numFmtId="0" fontId="16" fillId="0" borderId="0" xfId="0" applyFont="1" applyAlignment="1" applyProtection="1">
      <alignment vertical="center"/>
      <protection hidden="1"/>
    </xf>
    <xf numFmtId="0" fontId="18" fillId="0" borderId="0" xfId="0" applyFont="1" applyAlignment="1">
      <alignment horizontal="left" vertical="center" wrapText="1"/>
    </xf>
    <xf numFmtId="165" fontId="16" fillId="0" borderId="2" xfId="0" applyNumberFormat="1" applyFont="1" applyBorder="1" applyProtection="1">
      <protection locked="0"/>
    </xf>
    <xf numFmtId="0" fontId="8" fillId="4" borderId="2" xfId="0" applyFont="1" applyFill="1" applyBorder="1"/>
    <xf numFmtId="0" fontId="15" fillId="4" borderId="2" xfId="0" applyFont="1" applyFill="1" applyBorder="1"/>
    <xf numFmtId="0" fontId="15" fillId="4" borderId="2" xfId="1" applyFont="1" applyFill="1" applyBorder="1" applyAlignment="1">
      <alignment vertical="center"/>
    </xf>
    <xf numFmtId="0" fontId="16" fillId="4" borderId="4" xfId="0" applyFont="1" applyFill="1" applyBorder="1" applyAlignment="1">
      <alignment horizontal="center" vertical="center" wrapText="1"/>
    </xf>
    <xf numFmtId="0" fontId="8" fillId="4" borderId="2" xfId="0" applyFont="1" applyFill="1" applyBorder="1" applyAlignment="1">
      <alignment horizontal="center"/>
    </xf>
    <xf numFmtId="165" fontId="16" fillId="4" borderId="2" xfId="0" applyNumberFormat="1" applyFont="1" applyFill="1" applyBorder="1" applyProtection="1">
      <protection hidden="1"/>
    </xf>
    <xf numFmtId="0" fontId="15" fillId="4" borderId="2" xfId="0" applyFont="1" applyFill="1" applyBorder="1" applyProtection="1">
      <protection hidden="1"/>
    </xf>
    <xf numFmtId="0" fontId="19" fillId="0" borderId="0" xfId="0" applyFont="1" applyAlignment="1">
      <alignment horizontal="left" vertical="center" wrapText="1"/>
    </xf>
    <xf numFmtId="0" fontId="18" fillId="0" borderId="2" xfId="0" applyFont="1" applyBorder="1" applyAlignment="1" applyProtection="1">
      <alignment vertical="center"/>
      <protection locked="0"/>
    </xf>
    <xf numFmtId="0" fontId="18" fillId="0" borderId="0" xfId="0" applyFont="1" applyAlignment="1">
      <alignment wrapText="1"/>
    </xf>
    <xf numFmtId="0" fontId="8" fillId="4" borderId="4" xfId="0" applyFont="1" applyFill="1" applyBorder="1" applyAlignment="1">
      <alignment vertical="center" wrapText="1"/>
    </xf>
    <xf numFmtId="0" fontId="15" fillId="0" borderId="4" xfId="0" applyFont="1" applyBorder="1" applyAlignment="1" applyProtection="1">
      <alignment horizontal="left" vertical="center"/>
      <protection locked="0"/>
    </xf>
    <xf numFmtId="0" fontId="8" fillId="5" borderId="23" xfId="0" applyFont="1" applyFill="1" applyBorder="1" applyAlignment="1">
      <alignment horizontal="center" vertical="center" wrapText="1"/>
    </xf>
    <xf numFmtId="0" fontId="8" fillId="5" borderId="24" xfId="0" applyFont="1" applyFill="1" applyBorder="1" applyAlignment="1">
      <alignment horizontal="center" vertical="center"/>
    </xf>
    <xf numFmtId="0" fontId="8" fillId="5" borderId="1" xfId="0" applyFont="1" applyFill="1" applyBorder="1" applyAlignment="1">
      <alignment horizontal="center"/>
    </xf>
    <xf numFmtId="0" fontId="8" fillId="5" borderId="3" xfId="0" applyFont="1" applyFill="1" applyBorder="1" applyAlignment="1">
      <alignment horizontal="center"/>
    </xf>
    <xf numFmtId="0" fontId="8" fillId="0" borderId="0" xfId="0" applyFont="1" applyAlignment="1">
      <alignment horizontal="center" vertical="center" wrapText="1"/>
    </xf>
    <xf numFmtId="0" fontId="8" fillId="0" borderId="0" xfId="0" applyFont="1" applyAlignment="1">
      <alignment horizontal="left" vertical="center"/>
    </xf>
    <xf numFmtId="0" fontId="16" fillId="8" borderId="0" xfId="0" applyFont="1" applyFill="1" applyAlignment="1">
      <alignment horizontal="center" vertical="center"/>
    </xf>
    <xf numFmtId="0" fontId="8" fillId="5" borderId="1" xfId="1" applyFont="1" applyFill="1" applyBorder="1" applyAlignment="1">
      <alignment horizontal="center" vertical="center" wrapText="1"/>
    </xf>
    <xf numFmtId="0" fontId="8" fillId="5" borderId="18" xfId="1" applyFont="1" applyFill="1" applyBorder="1" applyAlignment="1">
      <alignment horizontal="center" vertical="center" wrapText="1"/>
    </xf>
    <xf numFmtId="0" fontId="8" fillId="5" borderId="3" xfId="1" applyFont="1" applyFill="1" applyBorder="1" applyAlignment="1">
      <alignment horizontal="center" vertical="center" wrapText="1"/>
    </xf>
    <xf numFmtId="0" fontId="8" fillId="3" borderId="1" xfId="1" applyFont="1" applyFill="1" applyBorder="1" applyAlignment="1">
      <alignment horizontal="center" vertical="center"/>
    </xf>
    <xf numFmtId="0" fontId="8" fillId="3" borderId="3" xfId="1" applyFont="1" applyFill="1" applyBorder="1" applyAlignment="1">
      <alignment horizontal="center" vertical="center"/>
    </xf>
    <xf numFmtId="0" fontId="23" fillId="0" borderId="0" xfId="0" applyFont="1" applyAlignment="1">
      <alignment horizontal="left" vertical="center" wrapText="1"/>
    </xf>
    <xf numFmtId="0" fontId="8" fillId="5" borderId="0" xfId="1" applyFont="1" applyFill="1" applyAlignment="1">
      <alignment horizontal="center" vertical="center" wrapText="1"/>
    </xf>
    <xf numFmtId="0" fontId="15" fillId="4" borderId="0" xfId="0" applyFont="1" applyFill="1" applyAlignment="1" applyProtection="1">
      <alignment horizontal="left" vertical="top" wrapText="1"/>
      <protection hidden="1"/>
    </xf>
    <xf numFmtId="0" fontId="8" fillId="0" borderId="0" xfId="0" applyFont="1" applyAlignment="1" applyProtection="1">
      <alignment horizontal="center" wrapText="1"/>
      <protection locked="0"/>
    </xf>
    <xf numFmtId="0" fontId="16" fillId="0" borderId="0" xfId="0" applyFont="1" applyAlignment="1">
      <alignment horizontal="center" vertical="center"/>
    </xf>
    <xf numFmtId="0" fontId="15" fillId="0" borderId="0" xfId="0" applyFont="1" applyAlignment="1">
      <alignment horizontal="left" vertical="center" wrapText="1"/>
    </xf>
    <xf numFmtId="0" fontId="15" fillId="0" borderId="0" xfId="0" applyFont="1" applyAlignment="1">
      <alignment horizontal="left" vertical="center"/>
    </xf>
    <xf numFmtId="0" fontId="8" fillId="0" borderId="17" xfId="0" applyFont="1" applyBorder="1" applyAlignment="1">
      <alignment horizontal="left" vertical="center" wrapText="1"/>
    </xf>
    <xf numFmtId="0" fontId="15" fillId="0" borderId="17" xfId="0" applyFont="1" applyBorder="1" applyAlignment="1">
      <alignment horizontal="left" vertical="center" wrapText="1"/>
    </xf>
    <xf numFmtId="0" fontId="8" fillId="0" borderId="0" xfId="0" applyFont="1" applyAlignment="1">
      <alignment horizontal="left" vertical="center" wrapText="1"/>
    </xf>
    <xf numFmtId="0" fontId="18" fillId="0" borderId="0" xfId="0" applyFont="1" applyAlignment="1">
      <alignment horizontal="left" vertical="center" wrapText="1"/>
    </xf>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12" fillId="0" borderId="0" xfId="2" applyFont="1" applyAlignment="1">
      <alignment horizontal="center" vertical="center" wrapText="1"/>
    </xf>
    <xf numFmtId="0" fontId="13" fillId="0" borderId="0" xfId="2" applyFont="1" applyAlignment="1">
      <alignment horizontal="center"/>
    </xf>
    <xf numFmtId="0" fontId="14" fillId="0" borderId="0" xfId="2" applyFont="1" applyAlignment="1">
      <alignment horizontal="center"/>
    </xf>
  </cellXfs>
  <cellStyles count="3">
    <cellStyle name="Normal" xfId="0" builtinId="0"/>
    <cellStyle name="Normal 2" xfId="1" xr:uid="{3FD76E3D-E421-4A84-BF86-8107D483268E}"/>
    <cellStyle name="Normal 3" xfId="2" xr:uid="{49D59954-B36C-4F8B-B2F0-34596882CDBE}"/>
  </cellStyles>
  <dxfs count="40">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ill>
        <patternFill>
          <bgColor theme="7" tint="0.59996337778862885"/>
        </patternFill>
      </fill>
    </dxf>
    <dxf>
      <font>
        <color rgb="FF9C5700"/>
      </font>
      <fill>
        <patternFill>
          <bgColor rgb="FFFFEB9C"/>
        </patternFill>
      </fill>
    </dxf>
    <dxf>
      <font>
        <color rgb="FF9C5700"/>
      </font>
      <fill>
        <patternFill>
          <bgColor rgb="FFFFEB9C"/>
        </patternFill>
      </fill>
    </dxf>
    <dxf>
      <border>
        <left style="thin">
          <color rgb="FF9C0006"/>
        </left>
        <right style="thin">
          <color rgb="FF9C0006"/>
        </right>
        <top style="thin">
          <color rgb="FF9C0006"/>
        </top>
        <bottom style="thin">
          <color rgb="FF9C0006"/>
        </bottom>
      </border>
    </dxf>
    <dxf>
      <font>
        <color rgb="FF9C5700"/>
      </font>
      <fill>
        <patternFill>
          <bgColor rgb="FFFFEB9C"/>
        </patternFill>
      </fill>
    </dxf>
    <dxf>
      <font>
        <color rgb="FF9C5700"/>
      </font>
      <fill>
        <patternFill>
          <bgColor rgb="FFFFEB9C"/>
        </patternFill>
      </fill>
    </dxf>
    <dxf>
      <font>
        <color rgb="FF9C5700"/>
      </font>
      <fill>
        <patternFill>
          <bgColor rgb="FFFFEB9C"/>
        </patternFill>
      </fill>
    </dxf>
    <dxf>
      <border>
        <left style="thin">
          <color rgb="FF9C0006"/>
        </left>
        <right style="thin">
          <color rgb="FF9C0006"/>
        </right>
        <top style="thin">
          <color rgb="FF9C0006"/>
        </top>
        <bottom style="thin">
          <color rgb="FF9C0006"/>
        </bottom>
      </border>
    </dxf>
    <dxf>
      <font>
        <color rgb="FF9C0006"/>
      </font>
      <fill>
        <patternFill>
          <bgColor rgb="FFFFC7CE"/>
        </patternFill>
      </fill>
    </dxf>
    <dxf>
      <font>
        <color rgb="FF9C0006"/>
      </font>
      <fill>
        <patternFill>
          <bgColor rgb="FFFFC7CE"/>
        </patternFill>
      </fill>
    </dxf>
    <dxf>
      <fill>
        <patternFill>
          <bgColor theme="7" tint="0.59996337778862885"/>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ill>
        <patternFill>
          <bgColor theme="7" tint="0.59996337778862885"/>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border>
        <left style="thin">
          <color rgb="FF9C0006"/>
        </left>
        <right style="thin">
          <color rgb="FF9C0006"/>
        </right>
        <top style="thin">
          <color rgb="FF9C0006"/>
        </top>
        <bottom style="thin">
          <color rgb="FF9C0006"/>
        </bottom>
      </border>
    </dxf>
    <dxf>
      <font>
        <color rgb="FF9C5700"/>
      </font>
      <fill>
        <patternFill>
          <bgColor rgb="FFFFEB9C"/>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19E6C-4058-4A0B-9E14-77C090F2F5B9}">
  <sheetPr codeName="Sheet3"/>
  <dimension ref="B1:C33"/>
  <sheetViews>
    <sheetView topLeftCell="A16" zoomScaleNormal="100" zoomScalePageLayoutView="55" workbookViewId="0">
      <selection activeCell="J29" sqref="J29"/>
    </sheetView>
  </sheetViews>
  <sheetFormatPr defaultColWidth="8.85546875" defaultRowHeight="14.25"/>
  <cols>
    <col min="1" max="1" width="1.42578125" style="105" customWidth="1"/>
    <col min="2" max="2" width="85" style="105" customWidth="1"/>
    <col min="3" max="16384" width="8.85546875" style="105"/>
  </cols>
  <sheetData>
    <row r="1" spans="2:2" ht="39" customHeight="1">
      <c r="B1" s="119" t="s">
        <v>319</v>
      </c>
    </row>
    <row r="2" spans="2:2">
      <c r="B2" s="89" t="s">
        <v>0</v>
      </c>
    </row>
    <row r="3" spans="2:2" ht="15">
      <c r="B3" s="89" t="s">
        <v>353</v>
      </c>
    </row>
    <row r="4" spans="2:2" ht="29.25">
      <c r="B4" s="89" t="s">
        <v>379</v>
      </c>
    </row>
    <row r="5" spans="2:2" ht="29.25">
      <c r="B5" s="89" t="s">
        <v>377</v>
      </c>
    </row>
    <row r="6" spans="2:2" ht="62.25" customHeight="1">
      <c r="B6" s="181" t="s">
        <v>381</v>
      </c>
    </row>
    <row r="7" spans="2:2" ht="42.75">
      <c r="B7" s="89" t="s">
        <v>382</v>
      </c>
    </row>
    <row r="8" spans="2:2" ht="15">
      <c r="B8" s="89" t="s">
        <v>380</v>
      </c>
    </row>
    <row r="9" spans="2:2" ht="30">
      <c r="B9" s="89" t="s">
        <v>368</v>
      </c>
    </row>
    <row r="10" spans="2:2" ht="15">
      <c r="B10" s="89" t="s">
        <v>386</v>
      </c>
    </row>
    <row r="11" spans="2:2" ht="44.25">
      <c r="B11" s="89" t="s">
        <v>378</v>
      </c>
    </row>
    <row r="12" spans="2:2">
      <c r="B12" s="105" t="s">
        <v>326</v>
      </c>
    </row>
    <row r="14" spans="2:2" ht="15">
      <c r="B14" s="106" t="s">
        <v>14</v>
      </c>
    </row>
    <row r="15" spans="2:2">
      <c r="B15" s="89" t="s">
        <v>320</v>
      </c>
    </row>
    <row r="16" spans="2:2" ht="58.5">
      <c r="B16" s="89" t="s">
        <v>360</v>
      </c>
    </row>
    <row r="17" spans="2:3" ht="28.5">
      <c r="B17" s="89" t="s">
        <v>336</v>
      </c>
    </row>
    <row r="18" spans="2:3" ht="30">
      <c r="B18" s="89" t="s">
        <v>375</v>
      </c>
    </row>
    <row r="19" spans="2:3">
      <c r="B19" s="89" t="s">
        <v>337</v>
      </c>
    </row>
    <row r="20" spans="2:3">
      <c r="B20" s="89" t="s">
        <v>321</v>
      </c>
    </row>
    <row r="21" spans="2:3" ht="42.75">
      <c r="B21" s="89" t="s">
        <v>387</v>
      </c>
    </row>
    <row r="22" spans="2:3" ht="42.75">
      <c r="B22" s="89" t="s">
        <v>373</v>
      </c>
    </row>
    <row r="23" spans="2:3" ht="71.25">
      <c r="B23" s="89" t="s">
        <v>354</v>
      </c>
    </row>
    <row r="24" spans="2:3" ht="99.75">
      <c r="B24" s="89" t="s">
        <v>355</v>
      </c>
    </row>
    <row r="25" spans="2:3" ht="44.25" customHeight="1">
      <c r="B25" s="89" t="s">
        <v>356</v>
      </c>
    </row>
    <row r="26" spans="2:3" ht="42.75">
      <c r="B26" s="89" t="s">
        <v>372</v>
      </c>
    </row>
    <row r="27" spans="2:3" ht="59.25" customHeight="1">
      <c r="B27" s="192" t="s">
        <v>388</v>
      </c>
    </row>
    <row r="28" spans="2:3" ht="85.5">
      <c r="B28" s="192" t="s">
        <v>389</v>
      </c>
      <c r="C28" s="104"/>
    </row>
    <row r="29" spans="2:3">
      <c r="B29" s="89" t="s">
        <v>338</v>
      </c>
    </row>
    <row r="30" spans="2:3">
      <c r="B30" s="89" t="s">
        <v>1</v>
      </c>
    </row>
    <row r="31" spans="2:3" ht="28.5">
      <c r="B31" s="89" t="s">
        <v>15</v>
      </c>
    </row>
    <row r="32" spans="2:3" ht="28.5">
      <c r="B32" s="89" t="s">
        <v>352</v>
      </c>
    </row>
    <row r="33" spans="2:2">
      <c r="B33" s="89" t="s">
        <v>339</v>
      </c>
    </row>
  </sheetData>
  <sheetProtection selectLockedCells="1"/>
  <pageMargins left="0.7" right="0.7" top="0.75" bottom="0.75" header="0.3" footer="0.3"/>
  <pageSetup paperSize="9" orientation="portrait" horizont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FFEA2-0531-4631-ABCD-4E09D136E286}">
  <sheetPr codeName="Sheet1"/>
  <dimension ref="B1:G28"/>
  <sheetViews>
    <sheetView tabSelected="1" zoomScaleNormal="100" workbookViewId="0">
      <pane xSplit="1" ySplit="2" topLeftCell="B3" activePane="bottomRight" state="frozen"/>
      <selection pane="topRight" activeCell="B1" sqref="B1"/>
      <selection pane="bottomLeft" activeCell="A2" sqref="A2"/>
      <selection pane="bottomRight" activeCell="C7" sqref="C7"/>
    </sheetView>
  </sheetViews>
  <sheetFormatPr defaultColWidth="8.85546875" defaultRowHeight="14.25"/>
  <cols>
    <col min="1" max="1" width="6" style="33" customWidth="1"/>
    <col min="2" max="2" width="36.140625" style="34" customWidth="1"/>
    <col min="3" max="3" width="43.85546875" style="31" customWidth="1"/>
    <col min="4" max="4" width="37.140625" style="33" customWidth="1"/>
    <col min="5" max="5" width="77.42578125" style="33" hidden="1" customWidth="1"/>
    <col min="6" max="6" width="43.42578125" style="33" hidden="1" customWidth="1"/>
    <col min="7" max="7" width="30.28515625" style="33" customWidth="1"/>
    <col min="8" max="16384" width="8.85546875" style="33"/>
  </cols>
  <sheetData>
    <row r="1" spans="2:6" ht="42.6" customHeight="1" thickBot="1">
      <c r="B1" s="199" t="s">
        <v>309</v>
      </c>
      <c r="C1" s="199"/>
    </row>
    <row r="2" spans="2:6" ht="24.6" customHeight="1" thickBot="1">
      <c r="B2" s="195" t="s">
        <v>45</v>
      </c>
      <c r="C2" s="196" t="s">
        <v>46</v>
      </c>
      <c r="D2" s="107" t="str">
        <f>IF(TRIM(CONCATENATE(D3,D4,D5,D6,D7,D8,D14,D15,D16,D17,D18,D21,D23,D24,D25,D26,D27,))&lt;&gt;"","Atenționări","")</f>
        <v>Atenționări</v>
      </c>
      <c r="E2" s="80" t="s">
        <v>250</v>
      </c>
      <c r="F2" s="80" t="s">
        <v>236</v>
      </c>
    </row>
    <row r="3" spans="2:6" ht="15">
      <c r="B3" s="193" t="s">
        <v>322</v>
      </c>
      <c r="C3" s="194"/>
      <c r="D3" s="121" t="str">
        <f>CONCATENATE(IF(AND(E3="&lt;Completează&gt;",C3=""),"&lt;Completează&gt;",""))</f>
        <v>&lt;Completează&gt;</v>
      </c>
      <c r="E3" s="108" t="str">
        <f>IF($C3="","&lt;Completează&gt;","")</f>
        <v>&lt;Completează&gt;</v>
      </c>
    </row>
    <row r="4" spans="2:6" ht="15">
      <c r="B4" s="197" t="s">
        <v>308</v>
      </c>
      <c r="C4" s="198"/>
      <c r="D4" s="122"/>
    </row>
    <row r="5" spans="2:6">
      <c r="B5" s="61" t="s">
        <v>293</v>
      </c>
      <c r="C5" s="109"/>
      <c r="D5" s="121" t="str">
        <f>CONCATENATE(IF(AND(E5="&lt;Completează&gt;",C5=""),"&lt;Completează&gt;",""))</f>
        <v>&lt;Completează&gt;</v>
      </c>
      <c r="E5" s="108" t="str">
        <f>IF($C5="","&lt;Completează&gt;","")</f>
        <v>&lt;Completează&gt;</v>
      </c>
    </row>
    <row r="6" spans="2:6">
      <c r="B6" s="61" t="s">
        <v>246</v>
      </c>
      <c r="C6" s="109"/>
      <c r="D6" s="121" t="str">
        <f>CONCATENATE(IF(AND(E6="&lt;Completează&gt;"),"&lt;Completează (număr)&gt;",""))</f>
        <v>&lt;Completează (număr)&gt;</v>
      </c>
      <c r="E6" s="108" t="str">
        <f>IF(OR($C6="",ISNUMBER($C6)=FALSE),"&lt;Completează&gt;","")</f>
        <v>&lt;Completează&gt;</v>
      </c>
    </row>
    <row r="7" spans="2:6">
      <c r="B7" s="61" t="s">
        <v>18</v>
      </c>
      <c r="C7" s="109"/>
      <c r="D7" s="121" t="str">
        <f>CONCATENATE(IF(AND(E7="&lt;Completează&gt;"),"&lt;Completează&gt;",""))</f>
        <v>&lt;Completează&gt;</v>
      </c>
      <c r="E7" s="108" t="str">
        <f>IF($C7="","&lt;Completează&gt;","")</f>
        <v>&lt;Completează&gt;</v>
      </c>
    </row>
    <row r="8" spans="2:6">
      <c r="B8" s="87" t="s">
        <v>239</v>
      </c>
      <c r="C8" s="110"/>
      <c r="D8" s="121" t="str">
        <f>CONCATENATE(IF(AND(E8="&lt;Completează&gt;"),"&lt;Completează&gt;",""))</f>
        <v>&lt;Completează&gt;</v>
      </c>
      <c r="E8" s="108" t="str">
        <f>IF($C8="","&lt;Completează&gt;","")</f>
        <v>&lt;Completează&gt;</v>
      </c>
    </row>
    <row r="9" spans="2:6">
      <c r="B9" s="120" t="s">
        <v>314</v>
      </c>
      <c r="C9" s="110"/>
      <c r="D9" s="121" t="str">
        <f>CONCATENATE(IF(AND(E9="&lt;Completează&gt;"),"&lt;Completează&gt;",""))</f>
        <v>&lt;Completează&gt;</v>
      </c>
      <c r="E9" s="108" t="str">
        <f>IF($C9="","&lt;Completează&gt;","")</f>
        <v>&lt;Completează&gt;</v>
      </c>
    </row>
    <row r="10" spans="2:6">
      <c r="B10" s="120" t="s">
        <v>314</v>
      </c>
      <c r="C10" s="110"/>
      <c r="D10" s="121" t="str">
        <f t="shared" ref="D10:D12" si="0">CONCATENATE(IF(AND(E10="&lt;Completează&gt;"),"&lt;Completează - &gt;",""))</f>
        <v>&lt;Completează - &gt;</v>
      </c>
      <c r="E10" s="108" t="str">
        <f>IF(AND($C10="",C10&lt;&gt;"-"),"&lt;Completează&gt;","")</f>
        <v>&lt;Completează&gt;</v>
      </c>
    </row>
    <row r="11" spans="2:6">
      <c r="B11" s="120" t="s">
        <v>314</v>
      </c>
      <c r="C11" s="110"/>
      <c r="D11" s="121" t="str">
        <f t="shared" si="0"/>
        <v>&lt;Completează - &gt;</v>
      </c>
      <c r="E11" s="108" t="str">
        <f t="shared" ref="E11:E12" si="1">IF($C11="","&lt;Completează&gt;","")</f>
        <v>&lt;Completează&gt;</v>
      </c>
    </row>
    <row r="12" spans="2:6">
      <c r="B12" s="120" t="s">
        <v>314</v>
      </c>
      <c r="C12" s="110"/>
      <c r="D12" s="121" t="str">
        <f t="shared" si="0"/>
        <v>&lt;Completează - &gt;</v>
      </c>
      <c r="E12" s="108" t="str">
        <f t="shared" si="1"/>
        <v>&lt;Completează&gt;</v>
      </c>
    </row>
    <row r="13" spans="2:6">
      <c r="B13" s="120" t="s">
        <v>314</v>
      </c>
      <c r="C13" s="110"/>
      <c r="D13" s="121" t="str">
        <f>CONCATENATE(IF(AND(E13="&lt;Completează&gt;"),"&lt;Completează - &gt;",""))</f>
        <v>&lt;Completează - &gt;</v>
      </c>
      <c r="E13" s="108" t="str">
        <f>IF(AND($C13="",C13&lt;&gt;"-"),"&lt;Completează&gt;","")</f>
        <v>&lt;Completează&gt;</v>
      </c>
    </row>
    <row r="14" spans="2:6" ht="15">
      <c r="B14" s="197" t="s">
        <v>44</v>
      </c>
      <c r="C14" s="198"/>
      <c r="D14" s="122"/>
    </row>
    <row r="15" spans="2:6">
      <c r="B15" s="87" t="s">
        <v>38</v>
      </c>
      <c r="C15" s="111"/>
      <c r="D15" s="121" t="str">
        <f>CONCATENATE(IF(AND(E15="&lt;Completează&gt;"),"&lt;Completează nume și prenume&gt;",""))</f>
        <v>&lt;Completează nume și prenume&gt;</v>
      </c>
      <c r="E15" s="108" t="str">
        <f>IF($C15="","&lt;Completează&gt;","")</f>
        <v>&lt;Completează&gt;</v>
      </c>
    </row>
    <row r="16" spans="2:6">
      <c r="B16" s="87" t="s">
        <v>240</v>
      </c>
      <c r="C16" s="111"/>
      <c r="D16" s="121" t="str">
        <f>CONCATENATE(IF(AND(E16="&lt;Completează&gt;"),"&lt;Completează nume și prenume sau -&gt;",""))</f>
        <v>&lt;Completează nume și prenume sau -&gt;</v>
      </c>
      <c r="E16" s="108" t="str">
        <f>IF($C16="","&lt;Completează&gt;","")</f>
        <v>&lt;Completează&gt;</v>
      </c>
    </row>
    <row r="17" spans="2:6" ht="15">
      <c r="B17" s="197" t="s">
        <v>17</v>
      </c>
      <c r="C17" s="198"/>
      <c r="D17" s="122"/>
    </row>
    <row r="18" spans="2:6">
      <c r="B18" s="61" t="s">
        <v>311</v>
      </c>
      <c r="C18" s="97"/>
      <c r="D18" s="121" t="str">
        <f>CONCATENATE(IF(AND(E18="&lt;Completează&gt;",C18=""),"&lt;Completează&gt;",""))</f>
        <v>&lt;Completează&gt;</v>
      </c>
      <c r="E18" s="108" t="str">
        <f>IF($C$18="","&lt;Completează&gt;","")</f>
        <v>&lt;Completează&gt;</v>
      </c>
      <c r="F18" s="63"/>
    </row>
    <row r="19" spans="2:6">
      <c r="B19" s="61" t="s">
        <v>295</v>
      </c>
      <c r="C19" s="97"/>
      <c r="D19" s="121" t="str">
        <f>CONCATENATE(IF(AND(E19="&lt;Completează&gt;",C19=""),"&lt;Completează&gt;",""))</f>
        <v>&lt;Completează&gt;</v>
      </c>
      <c r="E19" s="108" t="str">
        <f>IF($C$19="","&lt;Completează&gt;","")</f>
        <v>&lt;Completează&gt;</v>
      </c>
      <c r="F19" s="63"/>
    </row>
    <row r="20" spans="2:6">
      <c r="B20" s="61" t="s">
        <v>310</v>
      </c>
      <c r="C20" s="97"/>
      <c r="D20" s="121" t="str">
        <f>CONCATENATE(IF(AND(E20="&lt;Completează&gt;",C20=""),"&lt;Completează&gt;",""))</f>
        <v>&lt;Completează&gt;</v>
      </c>
      <c r="E20" s="108" t="str">
        <f>IF($C$20="","&lt;Completează&gt;","")</f>
        <v>&lt;Completează&gt;</v>
      </c>
      <c r="F20" s="63"/>
    </row>
    <row r="21" spans="2:6">
      <c r="B21" s="61" t="s">
        <v>316</v>
      </c>
      <c r="C21" s="97"/>
      <c r="D21" s="121" t="str">
        <f>CONCATENATE(IF(E21="&lt;Selectează&gt;","Selectează o prioritate",""),)</f>
        <v>Selectează o prioritate</v>
      </c>
      <c r="E21" s="71" t="str">
        <f>CONCATENATE(IF(AND($C$21=""),"&lt;Selectează&gt;",""),)</f>
        <v>&lt;Selectează&gt;</v>
      </c>
      <c r="F21" s="63"/>
    </row>
    <row r="22" spans="2:6" ht="42.75">
      <c r="B22" s="61" t="s">
        <v>303</v>
      </c>
      <c r="C22" s="61" t="s">
        <v>370</v>
      </c>
      <c r="D22" s="121" t="str">
        <f>CONCATENATE(IF(AND(E22="&lt;Completează&gt;",C22=""),"&lt;Completează&gt;",""))</f>
        <v/>
      </c>
      <c r="E22" s="108" t="str">
        <f>IF($C$20="","&lt;Completează&gt;","")</f>
        <v>&lt;Completează&gt;</v>
      </c>
      <c r="F22" s="63"/>
    </row>
    <row r="23" spans="2:6" ht="28.5">
      <c r="B23" s="61" t="s">
        <v>237</v>
      </c>
      <c r="C23" s="48"/>
      <c r="D23" s="121" t="str">
        <f>CONCATENATE(IF(E23="&lt;Selectează&gt;","Selectează &lt;Da&gt; sau &lt;Nu&gt;",""),)</f>
        <v>Selectează &lt;Da&gt; sau &lt;Nu&gt;</v>
      </c>
      <c r="E23" s="71" t="str">
        <f>CONCATENATE(IF(AND($C$23=""),"&lt;Selectează&gt;",""),)</f>
        <v>&lt;Selectează&gt;</v>
      </c>
      <c r="F23" s="63"/>
    </row>
    <row r="24" spans="2:6">
      <c r="B24" s="61" t="s">
        <v>241</v>
      </c>
      <c r="C24" s="109"/>
      <c r="D24" s="121" t="str">
        <f>CONCATENATE(IF(AND(E24="&lt;Completează&gt;",C24=""),"&lt;Completează&gt;",""),IF(AND(E24="Nu este cazul",C24&lt;&gt;"Nu este cazul"),"Nu este cazul",""))</f>
        <v>&lt;Completează&gt;</v>
      </c>
      <c r="E24" s="108" t="str">
        <f>IF($C$24="","&lt;Completează&gt;","")</f>
        <v>&lt;Completează&gt;</v>
      </c>
      <c r="F24" s="63"/>
    </row>
    <row r="25" spans="2:6">
      <c r="B25" s="61" t="s">
        <v>242</v>
      </c>
      <c r="C25" s="109"/>
      <c r="D25" s="121" t="str">
        <f>CONCATENATE(IF(E25="&lt;Selectează&gt;","Selectează țara",""),)</f>
        <v>Selectează țara</v>
      </c>
      <c r="E25" s="71" t="str">
        <f>CONCATENATE(IF(AND($C$25=""),"&lt;Selectează&gt;",""),)</f>
        <v>&lt;Selectează&gt;</v>
      </c>
      <c r="F25" s="63"/>
    </row>
    <row r="26" spans="2:6" ht="15" hidden="1">
      <c r="B26" s="197" t="s">
        <v>238</v>
      </c>
      <c r="C26" s="198"/>
      <c r="D26" s="104"/>
    </row>
    <row r="27" spans="2:6" ht="42.75" hidden="1">
      <c r="B27" s="112" t="s">
        <v>225</v>
      </c>
      <c r="C27" s="63" t="s">
        <v>226</v>
      </c>
      <c r="D27" s="113" t="str">
        <f>CONCATENATE(IF(AND(E27="&lt;Selectează&gt;",OR(C27="",C27="Nu este cazul")),"Selectează &lt;Cost real (factură)&gt; sau &lt;Conf. Anexă HG 518/1995&gt;",""),IF(AND(E27="Nu este cazul",C27&lt;&gt;"Nu este cazul"),"Selectează &lt;Nu este cazul&gt;",""))</f>
        <v/>
      </c>
      <c r="E27" s="71" t="str">
        <f>CONCATENATE(IF(AND(OR(C27="",C27="Nu este cazul"),OR($C$23="&lt;Selectează&gt;", $C$23="DA")),"&lt;Selectează&gt;",""),IF(AND($C$23="NU"),"Nu este cazul",""))</f>
        <v/>
      </c>
      <c r="F27" s="63"/>
    </row>
    <row r="28" spans="2:6">
      <c r="B28" s="31"/>
    </row>
  </sheetData>
  <sheetProtection algorithmName="SHA-512" hashValue="OOwRNwZ6fKzXs+O5CiM4XS5Z4/1Hl6yAbOV04foZo129jzvfRBm355qPeKpvzOXEkqEuwCjkDWk2YjEmc9NzMw==" saltValue="GVn+LU++Mr/WG/NmsJWY9Q==" spinCount="100000" sheet="1" selectLockedCells="1"/>
  <sortState xmlns:xlrd2="http://schemas.microsoft.com/office/spreadsheetml/2017/richdata2" ref="B53:B58">
    <sortCondition ref="B53:B58"/>
  </sortState>
  <mergeCells count="5">
    <mergeCell ref="B4:C4"/>
    <mergeCell ref="B17:C17"/>
    <mergeCell ref="B26:C26"/>
    <mergeCell ref="B14:C14"/>
    <mergeCell ref="B1:C1"/>
  </mergeCells>
  <conditionalFormatting sqref="D3:D27">
    <cfRule type="containsText" dxfId="37" priority="1" operator="containsText" text="Nu este cazul">
      <formula>NOT(ISERROR(SEARCH("Nu este cazul",D3)))</formula>
    </cfRule>
  </conditionalFormatting>
  <dataValidations disablePrompts="1" count="1">
    <dataValidation type="list" allowBlank="1" showInputMessage="1" showErrorMessage="1" sqref="C27" xr:uid="{8BE7E3F3-E9C2-4EEF-89B7-417D30EE9D9A}">
      <formula1>#REF!</formula1>
    </dataValidation>
  </dataValidations>
  <pageMargins left="0.70866141732283472" right="0.70866141732283472" top="0.74803149606299213" bottom="0.74803149606299213" header="0.31496062992125984" footer="0.31496062992125984"/>
  <pageSetup paperSize="9" orientation="portrait" horizontalDpi="1200" r:id="rId1"/>
  <headerFooter>
    <oddFooter>&amp;R&amp;A</oddFooter>
  </headerFooter>
  <ignoredErrors>
    <ignoredError sqref="D21" formula="1"/>
  </ignoredErrors>
  <legacyDrawing r:id="rId2"/>
  <extLst>
    <ext xmlns:x14="http://schemas.microsoft.com/office/spreadsheetml/2009/9/main" uri="{78C0D931-6437-407d-A8EE-F0AAD7539E65}">
      <x14:conditionalFormattings>
        <x14:conditionalFormatting xmlns:xm="http://schemas.microsoft.com/office/excel/2006/main">
          <x14:cfRule type="containsText" priority="242" operator="containsText" id="{CAB51E81-C923-4E15-ADB3-2E85020F138B}">
            <xm:f>NOT(ISERROR(SEARCH(#REF!,B3)))</xm:f>
            <xm:f>#REF!</xm:f>
            <x14:dxf>
              <font>
                <color rgb="FF9C5700"/>
              </font>
              <fill>
                <patternFill>
                  <bgColor rgb="FFFFEB9C"/>
                </patternFill>
              </fill>
            </x14:dxf>
          </x14:cfRule>
          <xm:sqref>B22 B23:C27 E27:F27 B3:C21</xm:sqref>
        </x14:conditionalFormatting>
        <x14:conditionalFormatting xmlns:xm="http://schemas.microsoft.com/office/excel/2006/main">
          <x14:cfRule type="containsText" priority="247" operator="containsText" id="{0A5F6630-9AAE-4B6C-AE4F-0E9DAA049436}">
            <xm:f>NOT(ISERROR(SEARCH(Liste!$C$214,B3)))</xm:f>
            <xm:f>Liste!$C$214</xm:f>
            <x14:dxf>
              <font>
                <color rgb="FF9C5700"/>
              </font>
              <fill>
                <patternFill>
                  <bgColor rgb="FFFFEB9C"/>
                </patternFill>
              </fill>
            </x14:dxf>
          </x14:cfRule>
          <xm:sqref>B22 B23:C27 E27:F27 B3:C21</xm:sqref>
        </x14:conditionalFormatting>
        <x14:conditionalFormatting xmlns:xm="http://schemas.microsoft.com/office/excel/2006/main">
          <x14:cfRule type="containsText" priority="254" operator="containsText" id="{0BE88014-48A9-4F65-8C75-69869EBCF361}">
            <xm:f>NOT(ISERROR(SEARCH(#REF!,E21)))</xm:f>
            <xm:f>#REF!</xm:f>
            <x14:dxf>
              <font>
                <color rgb="FF9C5700"/>
              </font>
              <fill>
                <patternFill>
                  <bgColor rgb="FFFFEB9C"/>
                </patternFill>
              </fill>
            </x14:dxf>
          </x14:cfRule>
          <x14:cfRule type="containsText" priority="256" operator="containsText" id="{9368D766-0533-4B7A-9104-2490A824DB1E}">
            <xm:f>NOT(ISERROR(SEARCH(Liste!$C$214,E21)))</xm:f>
            <xm:f>Liste!$C$214</xm:f>
            <x14:dxf>
              <font>
                <color rgb="FF9C5700"/>
              </font>
              <fill>
                <patternFill>
                  <bgColor rgb="FFFFEB9C"/>
                </patternFill>
              </fill>
            </x14:dxf>
          </x14:cfRule>
          <xm:sqref>E21 E23</xm:sqref>
        </x14:conditionalFormatting>
        <x14:conditionalFormatting xmlns:xm="http://schemas.microsoft.com/office/excel/2006/main">
          <x14:cfRule type="containsText" priority="2" operator="containsText" id="{EDE33A93-7829-4738-B39C-5F74E630261A}">
            <xm:f>NOT(ISERROR(SEARCH(#REF!,E25)))</xm:f>
            <xm:f>#REF!</xm:f>
            <x14:dxf>
              <font>
                <color rgb="FF9C5700"/>
              </font>
              <fill>
                <patternFill>
                  <bgColor rgb="FFFFEB9C"/>
                </patternFill>
              </fill>
            </x14:dxf>
          </x14:cfRule>
          <x14:cfRule type="containsText" priority="4" operator="containsText" id="{14EB623D-56F7-455B-959F-0DCE2AD8916A}">
            <xm:f>NOT(ISERROR(SEARCH(Liste!$C$214,E25)))</xm:f>
            <xm:f>Liste!$C$214</xm:f>
            <x14:dxf>
              <font>
                <color rgb="FF9C5700"/>
              </font>
              <fill>
                <patternFill>
                  <bgColor rgb="FFFFEB9C"/>
                </patternFill>
              </fill>
            </x14:dxf>
          </x14:cfRule>
          <xm:sqref>E25</xm:sqref>
        </x14:conditionalFormatting>
        <x14:conditionalFormatting xmlns:xm="http://schemas.microsoft.com/office/excel/2006/main">
          <x14:cfRule type="containsText" priority="258" operator="containsText" id="{3D72C679-B4FB-46A2-A42C-9CDCDA202DBA}">
            <xm:f>NOT(ISERROR(SEARCH(#REF!,F18)))</xm:f>
            <xm:f>#REF!</xm:f>
            <x14:dxf>
              <font>
                <color rgb="FF9C5700"/>
              </font>
              <fill>
                <patternFill>
                  <bgColor rgb="FFFFEB9C"/>
                </patternFill>
              </fill>
            </x14:dxf>
          </x14:cfRule>
          <x14:cfRule type="containsText" priority="259" operator="containsText" id="{35D925D4-73A8-4F17-9C6B-95542F28EBBE}">
            <xm:f>NOT(ISERROR(SEARCH(Liste!$C$214,F18)))</xm:f>
            <xm:f>Liste!$C$214</xm:f>
            <x14:dxf>
              <font>
                <color rgb="FF9C5700"/>
              </font>
              <fill>
                <patternFill>
                  <bgColor rgb="FFFFEB9C"/>
                </patternFill>
              </fill>
            </x14:dxf>
          </x14:cfRule>
          <xm:sqref>F18:F25</xm:sqref>
        </x14:conditionalFormatting>
      </x14:conditionalFormattings>
    </ext>
    <ext xmlns:x14="http://schemas.microsoft.com/office/spreadsheetml/2009/9/main" uri="{CCE6A557-97BC-4b89-ADB6-D9C93CAAB3DF}">
      <x14:dataValidations xmlns:xm="http://schemas.microsoft.com/office/excel/2006/main" disablePrompts="1" count="4">
        <x14:dataValidation type="list" allowBlank="1" showInputMessage="1" showErrorMessage="1" xr:uid="{E5290E6A-96DE-441B-863C-CDDD4395E863}">
          <x14:formula1>
            <xm:f>Liste!$C$17:$C$183</xm:f>
          </x14:formula1>
          <xm:sqref>F25 C25</xm:sqref>
        </x14:dataValidation>
        <x14:dataValidation type="list" allowBlank="1" showInputMessage="1" showErrorMessage="1" xr:uid="{91F39D2D-B4AC-47EC-AED0-2756DD6CE327}">
          <x14:formula1>
            <xm:f>Liste!$C$215:$C$217</xm:f>
          </x14:formula1>
          <xm:sqref>F27</xm:sqref>
        </x14:dataValidation>
        <x14:dataValidation type="list" allowBlank="1" showInputMessage="1" showErrorMessage="1" xr:uid="{26F38345-41BF-4EFB-BB5C-11CBE59A824F}">
          <x14:formula1>
            <xm:f>Liste!$C$215:$C$216</xm:f>
          </x14:formula1>
          <xm:sqref>F23 C23</xm:sqref>
        </x14:dataValidation>
        <x14:dataValidation type="list" allowBlank="1" showInputMessage="1" showErrorMessage="1" xr:uid="{64B90FB0-AA0F-4936-91B1-96A15001B2AD}">
          <x14:formula1>
            <xm:f>Liste!$F$2:$F$8</xm:f>
          </x14:formula1>
          <xm:sqref>F21:F22 C21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BE6BB-E865-40D5-998F-DB3CB3404F90}">
  <sheetPr codeName="Sheet4">
    <pageSetUpPr fitToPage="1"/>
  </sheetPr>
  <dimension ref="A1:M88"/>
  <sheetViews>
    <sheetView topLeftCell="A55" zoomScaleNormal="100" workbookViewId="0">
      <selection activeCell="E65" sqref="E65"/>
    </sheetView>
  </sheetViews>
  <sheetFormatPr defaultColWidth="8.85546875" defaultRowHeight="14.25"/>
  <cols>
    <col min="1" max="1" width="4.7109375" style="31" customWidth="1"/>
    <col min="2" max="2" width="37.28515625" style="34" customWidth="1"/>
    <col min="3" max="3" width="18.7109375" style="31" customWidth="1"/>
    <col min="4" max="4" width="4.85546875" style="31" customWidth="1"/>
    <col min="5" max="5" width="49.5703125" style="31" customWidth="1"/>
    <col min="6" max="6" width="40.85546875" style="86" customWidth="1"/>
    <col min="7" max="7" width="17.42578125" style="31" hidden="1" customWidth="1"/>
    <col min="8" max="8" width="22.85546875" style="31" hidden="1" customWidth="1"/>
    <col min="9" max="9" width="17.42578125" style="31" hidden="1" customWidth="1"/>
    <col min="10" max="16384" width="8.85546875" style="31"/>
  </cols>
  <sheetData>
    <row r="1" spans="1:7" ht="15.75">
      <c r="A1" s="91" t="str">
        <f>CONCATENATE("Partener: ",'Date generale'!C5)</f>
        <v xml:space="preserve">Partener: </v>
      </c>
    </row>
    <row r="2" spans="1:7" ht="15.75">
      <c r="A2" s="91" t="str">
        <f>CONCATENATE( "Acord de parteneriat: ",'Date generale'!C3)</f>
        <v xml:space="preserve">Acord de parteneriat: </v>
      </c>
    </row>
    <row r="4" spans="1:7" ht="28.15" customHeight="1">
      <c r="A4" s="201" t="str">
        <f>CONCATENATE("Decont participant ",C6)</f>
        <v xml:space="preserve">Decont participant </v>
      </c>
      <c r="B4" s="201"/>
      <c r="C4" s="201"/>
      <c r="D4" s="201"/>
      <c r="E4" s="201"/>
      <c r="F4" s="59" t="str">
        <f>IF(TRIM(CONCATENATE(F6,F7,F9,F10,F12,F13,F14,F15,F16,F17,F18,F11,F19,F20,F21,F22,F23,F24,F25,F26,F29,F30,F31,F34,F35,F36,F37,F38,F39,F40,F41,F42,F43,F44,F45,F46,F47,F48,F49,F50,F51,F53,F54,F55,F61,F62,F63,F64,F65))&lt;&gt;"","Atenționări!","")</f>
        <v>Atenționări!</v>
      </c>
    </row>
    <row r="5" spans="1:7" ht="15.75">
      <c r="A5" s="58"/>
      <c r="B5" s="94" t="s">
        <v>299</v>
      </c>
      <c r="C5" s="82" t="s">
        <v>300</v>
      </c>
      <c r="D5" s="82" t="s">
        <v>296</v>
      </c>
      <c r="E5" s="82" t="s">
        <v>33</v>
      </c>
      <c r="F5" s="83"/>
    </row>
    <row r="6" spans="1:7">
      <c r="A6" s="171">
        <v>1</v>
      </c>
      <c r="B6" s="61" t="s">
        <v>16</v>
      </c>
      <c r="C6" s="62" t="str">
        <f>IF('Date generale'!C15&lt;&gt;"",'Date generale'!C15,"")</f>
        <v/>
      </c>
      <c r="D6" s="64" t="s">
        <v>258</v>
      </c>
      <c r="E6" s="64" t="s">
        <v>258</v>
      </c>
      <c r="F6" s="84"/>
    </row>
    <row r="7" spans="1:7">
      <c r="A7" s="172">
        <f>A6+1</f>
        <v>2</v>
      </c>
      <c r="B7" s="61" t="s">
        <v>257</v>
      </c>
      <c r="C7" s="48" t="s">
        <v>222</v>
      </c>
      <c r="D7" s="64" t="s">
        <v>258</v>
      </c>
      <c r="E7" s="64" t="s">
        <v>258</v>
      </c>
      <c r="F7" s="74" t="str">
        <f>IF(C7="","&lt;Selectează categoria&gt;","")</f>
        <v/>
      </c>
    </row>
    <row r="8" spans="1:7">
      <c r="A8" s="172">
        <f t="shared" ref="A8:A18" si="0">A7+1</f>
        <v>3</v>
      </c>
      <c r="B8" s="61" t="s">
        <v>256</v>
      </c>
      <c r="C8" s="64" t="str">
        <f>IF(Calcule!C5&lt;&gt;0,Calcule!C5,"")</f>
        <v>Nu este cazul</v>
      </c>
      <c r="D8" s="64" t="s">
        <v>258</v>
      </c>
      <c r="E8" s="64" t="s">
        <v>258</v>
      </c>
      <c r="F8" s="84"/>
    </row>
    <row r="9" spans="1:7" ht="28.5">
      <c r="A9" s="172">
        <f t="shared" si="0"/>
        <v>4</v>
      </c>
      <c r="B9" s="65" t="str">
        <f>CONCATENATE(IF('Date generale'!C27="DA","Plafon indemnizație ","Indemnizație "),"cazare/noapte - ",C7," pentru ",'Date generale'!C25," - ",IF(C8&lt;&gt;0,C8,""))</f>
        <v>Indemnizație cazare/noapte - Categoria I pentru  - Nu este cazul</v>
      </c>
      <c r="C9" s="62" t="str">
        <f>IF(Calcule!C7&lt;&gt;0,Calcule!C7,"")</f>
        <v/>
      </c>
      <c r="D9" s="64" t="s">
        <v>258</v>
      </c>
      <c r="E9" s="64" t="s">
        <v>258</v>
      </c>
      <c r="F9" s="84"/>
    </row>
    <row r="10" spans="1:7" ht="28.5">
      <c r="A10" s="172">
        <f t="shared" si="0"/>
        <v>5</v>
      </c>
      <c r="B10" s="65" t="str">
        <f>CONCATENATE("Nivel diurnă/zi - ",C7," pentru ",'Date generale'!C25," - ",IF(C8&lt;&gt;0,C8,""))</f>
        <v>Nivel diurnă/zi - Categoria I pentru  - Nu este cazul</v>
      </c>
      <c r="C10" s="62" t="str">
        <f>IF(Calcule!C8&lt;&gt;0,Calcule!C8,"")</f>
        <v/>
      </c>
      <c r="D10" s="64" t="s">
        <v>258</v>
      </c>
      <c r="E10" s="64" t="s">
        <v>258</v>
      </c>
      <c r="F10" s="84"/>
    </row>
    <row r="11" spans="1:7">
      <c r="A11" s="172">
        <f t="shared" si="0"/>
        <v>6</v>
      </c>
      <c r="B11" s="138" t="str">
        <f>CONCATENATE("Curs valutar de decontare - (lei/",IF('Date generale'!C25&lt;&gt;"",CONCATENATE(,VLOOKUP('Date generale'!C25,Liste!C17:H183,2),")",""),""))</f>
        <v>Curs valutar de decontare - (lei/</v>
      </c>
      <c r="C11" s="139"/>
      <c r="D11" s="140" t="s">
        <v>258</v>
      </c>
      <c r="E11" s="140" t="s">
        <v>258</v>
      </c>
      <c r="F11" s="74" t="str">
        <f>IF(C11="","&lt;Completează curs &gt;","")</f>
        <v>&lt;Completează curs &gt;</v>
      </c>
      <c r="G11" s="104"/>
    </row>
    <row r="12" spans="1:7" ht="14.45" customHeight="1">
      <c r="A12" s="202" t="s">
        <v>259</v>
      </c>
      <c r="B12" s="203"/>
      <c r="C12" s="203"/>
      <c r="D12" s="203"/>
      <c r="E12" s="204"/>
      <c r="F12" s="84"/>
    </row>
    <row r="13" spans="1:7" ht="34.5" customHeight="1">
      <c r="A13" s="172">
        <f>A11+1</f>
        <v>7</v>
      </c>
      <c r="B13" s="141" t="s">
        <v>361</v>
      </c>
      <c r="C13" s="142"/>
      <c r="D13" s="143" t="s">
        <v>297</v>
      </c>
      <c r="E13" s="144"/>
      <c r="F13" s="74" t="str">
        <f>IF(AND(D13="x",E13="")," &lt;Selectează doc.justif.&gt;","")</f>
        <v xml:space="preserve"> &lt;Selectează doc.justif.&gt;</v>
      </c>
      <c r="G13" s="68"/>
    </row>
    <row r="14" spans="1:7" ht="32.25" customHeight="1">
      <c r="A14" s="172">
        <f t="shared" si="0"/>
        <v>8</v>
      </c>
      <c r="B14" s="138" t="s">
        <v>362</v>
      </c>
      <c r="C14" s="142"/>
      <c r="D14" s="145" t="s">
        <v>297</v>
      </c>
      <c r="E14" s="146"/>
      <c r="F14" s="74" t="str">
        <f>IF(AND(D14="x",E14="")," &lt;Selectează doc.justif.&gt;","")</f>
        <v xml:space="preserve"> &lt;Selectează doc.justif.&gt;</v>
      </c>
      <c r="G14" s="68"/>
    </row>
    <row r="15" spans="1:7" ht="15" customHeight="1">
      <c r="A15" s="202" t="s">
        <v>260</v>
      </c>
      <c r="B15" s="203"/>
      <c r="C15" s="203"/>
      <c r="D15" s="203"/>
      <c r="E15" s="204"/>
      <c r="F15" s="74"/>
      <c r="G15" s="68"/>
    </row>
    <row r="16" spans="1:7" ht="28.5">
      <c r="A16" s="172">
        <f>A14+1</f>
        <v>9</v>
      </c>
      <c r="B16" s="141" t="s">
        <v>350</v>
      </c>
      <c r="C16" s="142"/>
      <c r="D16" s="143" t="s">
        <v>297</v>
      </c>
      <c r="E16" s="144"/>
      <c r="F16" s="74" t="str">
        <f>CONCATENATE(Calcule!C20,IF(AND(D16="x",E16="")," &lt;Selectează doc.justif.&gt;",""))</f>
        <v xml:space="preserve"> &lt;Selectează doc.justif.&gt;</v>
      </c>
      <c r="G16" s="68"/>
    </row>
    <row r="17" spans="1:9" ht="28.5">
      <c r="A17" s="172">
        <f t="shared" si="0"/>
        <v>10</v>
      </c>
      <c r="B17" s="67" t="s">
        <v>351</v>
      </c>
      <c r="C17" s="142"/>
      <c r="D17" s="81" t="s">
        <v>297</v>
      </c>
      <c r="E17" s="97"/>
      <c r="F17" s="74" t="str">
        <f>CONCATENATE(Calcule!C21,IF(AND(D17="x",E17="")," &lt;Selectează doc.justif.&gt;",""))</f>
        <v xml:space="preserve"> &lt;Selectează doc.justif.&gt;</v>
      </c>
      <c r="G17" s="68"/>
    </row>
    <row r="18" spans="1:9" ht="28.5">
      <c r="A18" s="172">
        <f t="shared" si="0"/>
        <v>11</v>
      </c>
      <c r="B18" s="147" t="s">
        <v>349</v>
      </c>
      <c r="C18" s="148"/>
      <c r="D18" s="81" t="s">
        <v>297</v>
      </c>
      <c r="E18" s="97"/>
      <c r="F18" s="74" t="str">
        <f>CONCATENATE(IF(C18="","&lt;Completează&gt;",""),Calcule!C16,IF(AND(D18="x",E18="")," &lt;Selectează doc.justif.&gt;",""))</f>
        <v>&lt;Completează&gt; &lt;Selectează doc.justif.&gt;</v>
      </c>
      <c r="G18" s="68"/>
    </row>
    <row r="19" spans="1:9" ht="18.75" customHeight="1">
      <c r="A19" s="202" t="s">
        <v>43</v>
      </c>
      <c r="B19" s="203"/>
      <c r="C19" s="204"/>
      <c r="D19" s="69"/>
      <c r="E19" s="134"/>
      <c r="F19" s="74"/>
      <c r="G19" s="68"/>
      <c r="H19" s="33"/>
    </row>
    <row r="20" spans="1:9">
      <c r="A20" s="172">
        <f>A18+1</f>
        <v>12</v>
      </c>
      <c r="B20" s="151" t="s">
        <v>272</v>
      </c>
      <c r="C20" s="152"/>
      <c r="D20" s="64" t="s">
        <v>258</v>
      </c>
      <c r="E20" s="64" t="s">
        <v>258</v>
      </c>
      <c r="F20" s="74" t="str">
        <f>CONCATENATE(IF(G20="&lt;Selectează&gt;","Selectează mijlocul de deplasare",""),IF(AND(G20="Nu este cazul",C20&lt;&gt;"Nu este cazul"),"Selectează &lt;Nu este cazul&gt;",""))</f>
        <v>Selectează mijlocul de deplasare</v>
      </c>
      <c r="G20" s="70" t="str">
        <f>IF(C20="","&lt;Selectează&gt;","")</f>
        <v>&lt;Selectează&gt;</v>
      </c>
      <c r="H20" s="63"/>
    </row>
    <row r="21" spans="1:9" ht="14.45" customHeight="1">
      <c r="A21" s="202" t="s">
        <v>7</v>
      </c>
      <c r="B21" s="203"/>
      <c r="C21" s="203"/>
      <c r="D21" s="203"/>
      <c r="E21" s="204"/>
      <c r="F21" s="74"/>
      <c r="G21" s="33"/>
      <c r="H21" s="33"/>
    </row>
    <row r="22" spans="1:9" ht="28.5">
      <c r="A22" s="172">
        <f>A20+1</f>
        <v>13</v>
      </c>
      <c r="B22" s="149" t="s">
        <v>21</v>
      </c>
      <c r="C22" s="150"/>
      <c r="D22" s="64" t="s">
        <v>258</v>
      </c>
      <c r="E22" s="64" t="s">
        <v>258</v>
      </c>
      <c r="F22" s="74" t="str">
        <f>CONCATENATE(IF(AND(G22="&lt;Selectează&gt;",OR(C22="",C22="Nu este cazul")),"Selectează o localitate",""),IF(AND(G22="Nu este cazul",C22&lt;&gt;"Nu este cazul"),"Selectează &lt;Nu este cazul&gt;",""))</f>
        <v/>
      </c>
      <c r="G22" s="71" t="str">
        <f>CONCATENATE(IF(AND(OR($C$20="Avion",$C$20="Avion+tren"),OR(C22="",C22="Nu este cazul")),"&lt;Selectează&gt;",""),IF(OR($C$20="Tren",$C$20="Autoturism"),"Nu este cazul",""))</f>
        <v/>
      </c>
      <c r="H22" s="63"/>
    </row>
    <row r="23" spans="1:9" ht="28.5">
      <c r="A23" s="172">
        <f>A22+1</f>
        <v>14</v>
      </c>
      <c r="B23" s="153" t="s">
        <v>22</v>
      </c>
      <c r="C23" s="154"/>
      <c r="D23" s="140" t="s">
        <v>258</v>
      </c>
      <c r="E23" s="140" t="s">
        <v>258</v>
      </c>
      <c r="F23" s="74" t="str">
        <f>CONCATENATE(IF(AND(G23="&lt;Selectează&gt;",OR(C23="",C23="Nu este cazul")),"Selectează o localitate",""),IF(AND(G23="Nu este cazul",C23&lt;&gt;"Nu este cazul"),"Selectează &lt;Nu este cazul&gt;",""))</f>
        <v/>
      </c>
      <c r="G23" s="71" t="str">
        <f>CONCATENATE(IF(AND(OR($C$20="Avion",$C$20="Avion+tren"),OR(C23="",C23="Nu este cazul")),"&lt;Selectează&gt;",""),IF(OR($C$20="Tren",$C$20="Autoturism"),"Nu este cazul",""))</f>
        <v/>
      </c>
      <c r="H23" s="63"/>
    </row>
    <row r="24" spans="1:9" ht="14.45" customHeight="1">
      <c r="A24" s="202" t="s">
        <v>8</v>
      </c>
      <c r="B24" s="203"/>
      <c r="C24" s="203"/>
      <c r="D24" s="203"/>
      <c r="E24" s="204"/>
      <c r="F24" s="74"/>
      <c r="G24" s="33"/>
      <c r="H24" s="33"/>
    </row>
    <row r="25" spans="1:9" ht="15" customHeight="1">
      <c r="A25" s="172">
        <f>A23+1</f>
        <v>15</v>
      </c>
      <c r="B25" s="149" t="s">
        <v>264</v>
      </c>
      <c r="C25" s="155"/>
      <c r="D25" s="156" t="s">
        <v>258</v>
      </c>
      <c r="E25" s="156" t="s">
        <v>258</v>
      </c>
      <c r="F25" s="74" t="str">
        <f>CONCATENATE(IF(AND(G25="&lt;Completează&gt;",OR(C25="",C25="Nu este cazul")),"Completează o localitate",""),IF(AND(G25="Nu este cazul",C25&lt;&gt;"Nu este cazul"),"Completează &lt;Nu este cazul&gt;",""))</f>
        <v/>
      </c>
      <c r="G25" s="71" t="str">
        <f>CONCATENATE(IF(AND(OR($C$20="Avion+Tren",$C$20="Tren"),OR(C25="",C25="Nu este cazul")),"&lt;Completează&gt;",""),IF(OR('Participant 1'!$C$20="Avion",'Participant 1'!$C$20="Autoturism"),"Nu este cazul",""))</f>
        <v/>
      </c>
      <c r="H25" s="66"/>
    </row>
    <row r="26" spans="1:9" ht="15" customHeight="1">
      <c r="A26" s="172">
        <f>A25+1</f>
        <v>16</v>
      </c>
      <c r="B26" s="65" t="s">
        <v>265</v>
      </c>
      <c r="C26" s="136"/>
      <c r="D26" s="64" t="s">
        <v>258</v>
      </c>
      <c r="E26" s="64" t="s">
        <v>258</v>
      </c>
      <c r="F26" s="74" t="str">
        <f>CONCATENATE(IF(AND(G26="&lt;Completează&gt;",OR(C26="",C26="Nu este cazul")),"Completează o localitate",""),IF(AND(G26="Nu este cazul",C26&lt;&gt;"Nu este cazul"),"Completează &lt;Nu este cazul&gt;",""))</f>
        <v/>
      </c>
      <c r="G26" s="71" t="str">
        <f>CONCATENATE(IF(AND(OR($C$20="Avion+Tren",$C$20="Tren"),OR(C26="",C26="Nu este cazul")),"&lt;Completează&gt;",""),IF(OR('Participant 1'!$C$20="Avion",'Participant 1'!$C$20="Autoturism"),"Nu este cazul",""))</f>
        <v/>
      </c>
      <c r="H26" s="66"/>
    </row>
    <row r="27" spans="1:9" ht="15" customHeight="1">
      <c r="A27" s="172">
        <f>A26+1</f>
        <v>17</v>
      </c>
      <c r="B27" s="72" t="s">
        <v>371</v>
      </c>
      <c r="C27" s="136"/>
      <c r="D27" s="64" t="s">
        <v>258</v>
      </c>
      <c r="E27" s="64" t="s">
        <v>258</v>
      </c>
      <c r="F27" s="74" t="str">
        <f>CONCATENATE(IF(AND(G27="&lt;Completează&gt;",OR(C27="",C27="Nu este cazul")),"Completează o localitate",""),IF(AND(G27="Nu este cazul",C27&lt;&gt;"Nu este cazul"),"Completează &lt;Nu este cazul&gt;",""))</f>
        <v/>
      </c>
      <c r="G27" s="71" t="str">
        <f>CONCATENATE(IF(AND(OR($C$20="Avion+Tren",$C$20="Tren"),OR(C27="",C27="Nu este cazul")),"&lt;Completează&gt;",""),IF(OR('Participant 1'!$C$20="Avion",'Participant 1'!$C$20="Autoturism"),"Nu este cazul",""))</f>
        <v/>
      </c>
    </row>
    <row r="28" spans="1:9" ht="15">
      <c r="A28" s="172">
        <f>A27+1</f>
        <v>18</v>
      </c>
      <c r="B28" s="153" t="s">
        <v>271</v>
      </c>
      <c r="C28" s="157"/>
      <c r="D28" s="140" t="s">
        <v>258</v>
      </c>
      <c r="E28" s="140" t="s">
        <v>258</v>
      </c>
      <c r="F28" s="74" t="str">
        <f>CONCATENATE(IF(AND(G28="&lt;Completează&gt;",OR(C28="",C28="Nu este cazul")),"Completează o localitate",""),IF(AND(G28="Nu este cazul",C28&lt;&gt;"Nu este cazul"),"Completează &lt;Nu este cazul&gt;",""))</f>
        <v/>
      </c>
      <c r="G28" s="71" t="str">
        <f>CONCATENATE(IF(AND(OR($C$20="Avion+Tren",$C$20="Tren"),OR(C28="",C28="Nu este cazul")),"&lt;Completează&gt;",""),IF(OR('Participant 1'!$C$20="Avion",'Participant 1'!$C$20="Autoturism"),"Nu este cazul",""))</f>
        <v/>
      </c>
    </row>
    <row r="29" spans="1:9" ht="14.45" customHeight="1">
      <c r="A29" s="202" t="s">
        <v>12</v>
      </c>
      <c r="B29" s="203"/>
      <c r="C29" s="203"/>
      <c r="D29" s="203"/>
      <c r="E29" s="204"/>
      <c r="F29" s="74"/>
      <c r="G29" s="33"/>
      <c r="H29" s="33"/>
    </row>
    <row r="30" spans="1:9" ht="15">
      <c r="A30" s="172">
        <f>A28+1</f>
        <v>19</v>
      </c>
      <c r="B30" s="149" t="s">
        <v>267</v>
      </c>
      <c r="C30" s="155"/>
      <c r="D30" s="156" t="s">
        <v>258</v>
      </c>
      <c r="E30" s="156" t="s">
        <v>258</v>
      </c>
      <c r="F30" s="74" t="str">
        <f>CONCATENATE(IF(AND(G30="&lt;Completează&gt;",OR(C30="",C30="Nu este cazul")),"Completează o localitate",""),IF(AND(G30="Nu este cazul",C30&lt;&gt;"Nu este cazul"),"Copmpletează &lt;Nu este cazul&gt;",""))</f>
        <v/>
      </c>
      <c r="G30" s="71" t="str">
        <f>CONCATENATE(IF(AND('Participant 1'!$C$20="Autoturism",OR(C30="",C30="Nu este cazul")),"&lt;Completează&gt;",""),IF(OR($C$20="Avion",$C$20="Avion+Tren",$C$20="Tren"),"Nu este cazul",""))</f>
        <v/>
      </c>
      <c r="H30" s="66"/>
      <c r="I30" s="104"/>
    </row>
    <row r="31" spans="1:9" ht="15">
      <c r="A31" s="172">
        <f>A30+1</f>
        <v>20</v>
      </c>
      <c r="B31" s="65" t="s">
        <v>268</v>
      </c>
      <c r="C31" s="136"/>
      <c r="D31" s="64" t="s">
        <v>258</v>
      </c>
      <c r="E31" s="64" t="s">
        <v>258</v>
      </c>
      <c r="F31" s="74" t="str">
        <f>CONCATENATE(IF(AND(G31="&lt;Completează&gt;",OR(C31="",C31="Nu este cazul")),"Completează o localitate",""),IF(AND(G31="Nu este cazul",C31&lt;&gt;"Nu este cazul"),"Completează &lt;Nu este cazul&gt;",""))</f>
        <v/>
      </c>
      <c r="G31" s="71" t="str">
        <f>CONCATENATE(IF(AND('Participant 1'!$C$20="Autoturism",OR(C31="",C31="Nu este cazul")),"&lt;Completează&gt;",""),IF(OR($C$20="Avion",$C$20="Avion+Tren",$C$20="Tren"),"Nu este cazul",""))</f>
        <v/>
      </c>
      <c r="H31" s="66"/>
    </row>
    <row r="32" spans="1:9" ht="15">
      <c r="A32" s="172">
        <f>A31+1</f>
        <v>21</v>
      </c>
      <c r="B32" s="65" t="s">
        <v>270</v>
      </c>
      <c r="C32" s="136"/>
      <c r="D32" s="64" t="s">
        <v>258</v>
      </c>
      <c r="E32" s="64" t="s">
        <v>258</v>
      </c>
      <c r="F32" s="74" t="str">
        <f>CONCATENATE(IF(AND(G32="&lt;Completează&gt;",OR(C32="",C32="Nu este cazul")),"Completează o localitate",""),IF(AND(G32="Nu este cazul",C32&lt;&gt;"Nu este cazul"),"Completează &lt;Nu este cazul&gt;",""))</f>
        <v/>
      </c>
      <c r="G32" s="71" t="str">
        <f>CONCATENATE(IF(AND('Participant 1'!$C$20="Autoturism",OR(C32="",C32="Nu este cazul")),"&lt;Completează&gt;",""),IF(OR($C$20="Avion",$C$20="Avion+Tren",$C$20="Tren"),"Nu este cazul",""))</f>
        <v/>
      </c>
      <c r="H32" s="66"/>
    </row>
    <row r="33" spans="1:8" ht="15">
      <c r="A33" s="172">
        <f>A32+1</f>
        <v>22</v>
      </c>
      <c r="B33" s="153" t="s">
        <v>269</v>
      </c>
      <c r="C33" s="157"/>
      <c r="D33" s="140" t="s">
        <v>258</v>
      </c>
      <c r="E33" s="140" t="s">
        <v>258</v>
      </c>
      <c r="F33" s="74" t="str">
        <f>CONCATENATE(IF(AND(G33="&lt;Completează&gt;",OR(C33="",C33="Nu este cazul")),"Completează o localitate",""),IF(AND(G33="Nu este cazul",C33&lt;&gt;"Nu este cazul"),"Completează &lt;Nu este cazul&gt;",""))</f>
        <v/>
      </c>
      <c r="G33" s="71" t="str">
        <f>CONCATENATE(IF(AND('Participant 1'!$C$20="Autoturism",OR(C33="",C33="Nu este cazul")),"&lt;Completează&gt;",""),IF(OR($C$20="Avion",$C$20="Avion+Tren",$C$20="Tren"),"Nu este cazul",""))</f>
        <v/>
      </c>
      <c r="H33" s="66"/>
    </row>
    <row r="34" spans="1:8" ht="14.45" customHeight="1">
      <c r="A34" s="202" t="s">
        <v>328</v>
      </c>
      <c r="B34" s="203"/>
      <c r="C34" s="203"/>
      <c r="D34" s="203"/>
      <c r="E34" s="204"/>
      <c r="F34" s="74"/>
      <c r="G34" s="71"/>
      <c r="H34" s="63"/>
    </row>
    <row r="35" spans="1:8">
      <c r="A35" s="172">
        <f>A33+1</f>
        <v>23</v>
      </c>
      <c r="B35" s="159" t="s">
        <v>243</v>
      </c>
      <c r="C35" s="150"/>
      <c r="D35" s="156" t="s">
        <v>258</v>
      </c>
      <c r="E35" s="156" t="s">
        <v>258</v>
      </c>
      <c r="F35" s="74" t="str">
        <f>CONCATENATE(IF(AND(G35="&lt;Selectează&gt;",OR(C35="",C35="Nu este cazul")),"Selectează &lt;Da&gt; sau &lt;Nu&gt;",""),IF(AND(G35="Nu este cazul",C35&lt;&gt;"Nu este cazul"),"Selectează &lt;Nu este cazul&gt;",""))</f>
        <v/>
      </c>
      <c r="G35" s="71" t="str">
        <f>CONCATENATE(IF(AND(OR($C$20="Avion",$C$20="Avion+Tren"),OR(C35="",C35="Nu este cazul")),"&lt;Selectează&gt;",""),IF(OR($C$20="Tren",'Participant 1'!$C$20="Autoturism"),"Nu este cazul",""))</f>
        <v/>
      </c>
      <c r="H35" s="63"/>
    </row>
    <row r="36" spans="1:8">
      <c r="A36" s="172">
        <f t="shared" ref="A36:A42" si="1">A35+1</f>
        <v>24</v>
      </c>
      <c r="B36" s="75" t="s">
        <v>244</v>
      </c>
      <c r="C36" s="48"/>
      <c r="D36" s="81" t="str">
        <f>IF(C35="DA","x","-")</f>
        <v>-</v>
      </c>
      <c r="E36" s="32"/>
      <c r="F36" s="74" t="str">
        <f>CONCATENATE(IF(AND(G36="&lt;Introdu distanța&gt;",ISNUMBER(C36)&lt;&gt;TRUE),"&lt;Introdu distanța&gt;",""),IF(AND(G36="Nu este cazul",C36&lt;&gt;"Nu este cazul"),"Completează cu &lt;Nu este cazul&gt;",""),IF(AND(D36="x",E36="")," &lt;Selectează doc.justif.&gt;",""))</f>
        <v/>
      </c>
      <c r="G36" s="71" t="str">
        <f>CONCATENATE(IF(AND(OR($C$20="Avion",$C$20="Avion+Tren"),$C35="DA",ISNUMBER(C36)=FALSE),"&lt;Introdu distanța&gt;",""),IF(AND(OR($C$20="Avion",$C$20="Avion+Tren"),$C35="NU"),"Nu este cazul",""),IF(OR('Participant 1'!$C$20="Tren",'Participant 1'!$C$20="Autoturism"),"Nu este cazul",""))</f>
        <v/>
      </c>
      <c r="H36" s="63"/>
    </row>
    <row r="37" spans="1:8" ht="15" customHeight="1">
      <c r="A37" s="172">
        <f t="shared" si="1"/>
        <v>25</v>
      </c>
      <c r="B37" s="75" t="s">
        <v>287</v>
      </c>
      <c r="C37" s="48"/>
      <c r="D37" s="64" t="s">
        <v>258</v>
      </c>
      <c r="E37" s="64" t="s">
        <v>258</v>
      </c>
      <c r="F37" s="74" t="str">
        <f>CONCATENATE(IF(AND(G37="&lt;Selectează tip alimentare&gt;",OR(C37="",C37="Nu este cazul")),"&lt;Selectează tip alimentare&gt;",""),IF(AND(G37="Nu este cazul",C37&lt;&gt;"Nu este cazul"),"Selectează &lt;Nu este cazul&gt;",""))</f>
        <v/>
      </c>
      <c r="G37" s="71" t="str">
        <f>CONCATENATE(IF(AND(OR($C$20="Avion",$C$20="Avion+Tren"),$C35="DA"),"&lt;Selectează tip alimentare&gt;",""),IF(AND(OR($C$20="Avion",$C$20="Avion+Tren"),$C35="NU"),"Nu este cazul",""),IF(OR('Participant 1'!$C$20="Tren",'Participant 1'!$C$20="Autoturism"),"Nu este cazul",""))</f>
        <v/>
      </c>
      <c r="H37" s="63"/>
    </row>
    <row r="38" spans="1:8">
      <c r="A38" s="172">
        <f t="shared" si="1"/>
        <v>26</v>
      </c>
      <c r="B38" s="75" t="str">
        <f>CONCATENATE("Consum la 100 Km ",IF(C37="Energie electrică","(kWh/100 Km) - WLTP",""),IF(C37="Benzină/motorină","(7,5 litri/100 Km)",""))</f>
        <v xml:space="preserve">Consum la 100 Km </v>
      </c>
      <c r="C38" s="48"/>
      <c r="D38" s="81" t="str">
        <f>IF(OR($C$37="Energie electrică"),"x","-")</f>
        <v>-</v>
      </c>
      <c r="E38" s="32"/>
      <c r="F38" s="74" t="str">
        <f>CONCATENATE(IF(AND(G38="&lt;Introdu consum&gt;",ISNUMBER(C38)&lt;&gt;TRUE),"&lt;Introdu consum&gt;",""),IF(AND(G38="Nu este cazul",C38&lt;&gt;"Nu este cazul"),"Completează cu &lt;Nu este cazul&gt;",""),IF(AND(C37="Benzină/motorină",C38&lt;&gt;7.5),"7.5",""),IF(AND(D38="x",E38="")," &lt;Selectează doc.justif.&gt;",""))</f>
        <v/>
      </c>
      <c r="G38" s="71" t="str">
        <f>CONCATENATE(IF(AND(OR($C$20="Avion",$C$20="Avion+Tren"),$C35="DA",OR($C$37="Energie electrică",$C$37="Benzină/motorină"),ISNUMBER(C38)=FALSE),"&lt;Introdu consum&gt;",""),IF(AND(OR($C$20="Avion",$C$20="Avion+Tren"),$C35="NU"),"Nu este cazul",""),IF(OR('Participant 1'!$C$20="Tren",'Participant 1'!$C$20="Autoturism"),"Nu este cazul",""))</f>
        <v/>
      </c>
      <c r="H38" s="63"/>
    </row>
    <row r="39" spans="1:8">
      <c r="A39" s="172">
        <f t="shared" si="1"/>
        <v>27</v>
      </c>
      <c r="B39" s="75" t="s">
        <v>292</v>
      </c>
      <c r="C39" s="135"/>
      <c r="D39" s="81" t="str">
        <f>IF(OR($C$37="Benzină/motorină",$C$37="Energie electrică"),"x","-")</f>
        <v>-</v>
      </c>
      <c r="E39" s="32"/>
      <c r="F39" s="74" t="str">
        <f>CONCATENATE(IF(AND(G39="&lt;Introdu valoare&gt;",ISNUMBER(C39)&lt;&gt;TRUE),"&lt;Introdu valoare&gt;",""),IF(AND(G39="Nu este cazul",C39&lt;&gt;"Nu este cazul"),"Completează cu &lt;Nu este cazul&gt;",""),IF(AND(C38="Benzină/motorină",C39&lt;&gt;7.5),"7,5 litri/100Km",""),IF(AND(D39="x",E39="")," &lt;Selectează doc.justif.&gt;",""))</f>
        <v/>
      </c>
      <c r="G39" s="71" t="str">
        <f>CONCATENATE(IF(AND(OR($C$20="Avion",$C$20="Avion+Tren"),$C35="DA",OR($C$37="Energie electrică",$C$37="Benzină/motorină"),ISNUMBER(C39)=FALSE),"&lt;Introdu valoare&gt;",""),IF(AND(OR($C$20="Avion",$C$20="Avion+Tren"),$C35="NU"),"Nu este cazul",""),IF(OR('Participant 1'!$C$20="Tren",'Participant 1'!$C$20="Autoturism"),"Nu este cazul",""))</f>
        <v/>
      </c>
      <c r="H39" s="63"/>
    </row>
    <row r="40" spans="1:8">
      <c r="A40" s="172">
        <f t="shared" si="1"/>
        <v>28</v>
      </c>
      <c r="B40" s="75" t="str">
        <f>CONCATENATE("Preț ",IF(C37="Energie electrică","pe kWh - lei",""),IF(C37="Benzină/motorină","pe litru - lei",""))</f>
        <v xml:space="preserve">Preț </v>
      </c>
      <c r="C40" s="48"/>
      <c r="D40" s="81" t="str">
        <f>IF(OR($C$37="Benzină/motorină",$C$37="Energie electrică"),"x","-")</f>
        <v>-</v>
      </c>
      <c r="E40" s="32"/>
      <c r="F40" s="74" t="str">
        <f>CONCATENATE(IF(AND(G40="&lt;Introdu preț&gt;",ISNUMBER(C40)&lt;&gt;TRUE),"&lt;Introdu preț&gt;",""),IF(AND(G40="Nu este cazul",C40&lt;&gt;"Nu este cazul"),"Completează cu &lt;Nu este cazul&gt;",""),IF(AND(C39="Benzină/motorină",C40&lt;&gt;7.5),"7,5 litri/100Km",""),IF(AND(D40="x",E40="")," &lt;Selectează doc.justif.&gt;",""))</f>
        <v/>
      </c>
      <c r="G40" s="71" t="str">
        <f>CONCATENATE(IF(AND(OR($C$20="Avion",$C$20="Avion+Tren"),$C35="DA",OR($C$37="Energie electrică",$C$37="Benzină/motorină"),ISNUMBER(C40)=FALSE),"&lt;Introdu preț&gt;",""),IF(AND(OR($C$20="Avion",$C$20="Avion+Tren"),$C35="NU"),"Nu este cazul",""),IF(OR('Participant 1'!$C$20="Tren",'Participant 1'!$C$20="Autoturism"),"Nu este cazul",""))</f>
        <v/>
      </c>
      <c r="H40" s="63"/>
    </row>
    <row r="41" spans="1:8" ht="28.5">
      <c r="A41" s="172">
        <f t="shared" si="1"/>
        <v>29</v>
      </c>
      <c r="B41" s="73" t="s">
        <v>245</v>
      </c>
      <c r="C41" s="48"/>
      <c r="D41" s="64" t="s">
        <v>302</v>
      </c>
      <c r="E41" s="64" t="s">
        <v>258</v>
      </c>
      <c r="F41" s="74" t="str">
        <f>CONCATENATE(IF(AND(G41="&lt;Selectează&gt;",OR(C41="",C41="Nu este cazul")),"Selectează &lt;Da&gt; sau &lt;Nu&gt;",""),IF(AND(G41="Nu este cazul",C41&lt;&gt;"Nu este cazul"),"Selectează &lt;Nu este cazul&gt;",""),IF(AND(D41="x",E41="")," &lt;Selectează doc.justif.&gt;",""))</f>
        <v/>
      </c>
      <c r="G41" s="71" t="str">
        <f>CONCATENATE(IF(AND(OR($C$20="Avion",$C$20="Avion+Tren"),OR(C41="",C41="Nu este cazul")),"&lt;Selectează&gt;",""),IF(OR($C$20="Tren",'Participant 1'!$C$20="Autoturism"),"Nu este cazul",""))</f>
        <v/>
      </c>
      <c r="H41" s="63"/>
    </row>
    <row r="42" spans="1:8">
      <c r="A42" s="172">
        <f t="shared" si="1"/>
        <v>30</v>
      </c>
      <c r="B42" s="73" t="s">
        <v>301</v>
      </c>
      <c r="C42" s="167"/>
      <c r="D42" s="145" t="str">
        <f>IF(OR($C$41="DA"),"x","-")</f>
        <v>-</v>
      </c>
      <c r="E42" s="158"/>
      <c r="F42" s="74" t="str">
        <f>CONCATENATE(IF(AND(G42="&lt;Introdu valoare&gt;",ISNUMBER(C42)&lt;&gt;TRUE),"&lt;Introdu valoare&gt;",""),IF(AND(G42="Nu este cazul",C42&lt;&gt;"Nu este cazul"),"Completează cu &lt;Nu este cazul&gt;",""),IF(AND(D42="x",E42="")," &lt;Selectează doc.justif.&gt;",""))</f>
        <v/>
      </c>
      <c r="G42" s="71" t="str">
        <f>CONCATENATE(IF(AND($C$41="DA",ISNUMBER(C42)=FALSE),"&lt;Introdu valoare&gt;",""),IF(C41="NU","Nu este cazul",""),IF(OR('Participant 1'!$C$20="Tren",'Participant 1'!$C$20="Autoturism"),"Nu este cazul",""))</f>
        <v/>
      </c>
      <c r="H42" s="63"/>
    </row>
    <row r="43" spans="1:8" ht="13.9" customHeight="1">
      <c r="A43" s="202" t="s">
        <v>274</v>
      </c>
      <c r="B43" s="203"/>
      <c r="C43" s="203"/>
      <c r="D43" s="203"/>
      <c r="E43" s="204"/>
      <c r="F43" s="74"/>
      <c r="G43" s="71"/>
      <c r="H43" s="63"/>
    </row>
    <row r="44" spans="1:8">
      <c r="A44" s="172">
        <f>A42+1</f>
        <v>31</v>
      </c>
      <c r="B44" s="159" t="s">
        <v>243</v>
      </c>
      <c r="C44" s="150"/>
      <c r="D44" s="156" t="s">
        <v>302</v>
      </c>
      <c r="E44" s="156" t="s">
        <v>258</v>
      </c>
      <c r="F44" s="74" t="str">
        <f>CONCATENATE(IF(AND(G44="&lt;Selectează&gt;",OR(C44="",C44="Nu este cazul")),"Selectează &lt;Da&gt; sau &lt;Nu&gt;",""),IF(AND(G44="Nu este cazul",C44&lt;&gt;"Nu este cazul"),"Selectează &lt;Nu este cazul&gt;",""))</f>
        <v/>
      </c>
      <c r="G44" s="71" t="str">
        <f>CONCATENATE(IF(AND(OR($C$20="Avion",$C$20="Avion+Tren"),OR(C44="",C44="Nu este cazul")),"&lt;Selectează&gt;",""),IF(OR($C$20="Tren",'Participant 1'!$C$20="Autoturism"),"Nu este cazul",""))</f>
        <v/>
      </c>
      <c r="H44" s="63"/>
    </row>
    <row r="45" spans="1:8">
      <c r="A45" s="172">
        <f t="shared" ref="A45:A51" si="2">A44+1</f>
        <v>32</v>
      </c>
      <c r="B45" s="61" t="s">
        <v>244</v>
      </c>
      <c r="C45" s="48"/>
      <c r="D45" s="81" t="str">
        <f>IF(C44="DA","x","-")</f>
        <v>-</v>
      </c>
      <c r="E45" s="32"/>
      <c r="F45" s="74" t="str">
        <f>CONCATENATE(IF(AND(G45="&lt;Introdu distanța&gt;",ISNUMBER(C45)&lt;&gt;TRUE),"&lt;Introdu distanța&gt;",""),IF(AND(G45="Nu este cazul",C45&lt;&gt;"Nu este cazul"),"Completează cu &lt;Nu este cazul&gt;",""),IF(AND(D45="x",E45="")," &lt;Selectează doc.justif.&gt;",""))</f>
        <v/>
      </c>
      <c r="G45" s="71" t="str">
        <f>CONCATENATE(IF(AND(OR($C$20="Avion",$C$20="Avion+Tren"),$C44="DA",ISNUMBER(C45)=FALSE),"&lt;Introdu distanța&gt;",""),IF(AND(OR($C$20="Avion",$C$20="Avion+Tren"),$C44="NU"),"Nu este cazul",""),IF(OR('Participant 1'!$C$20="Tren",'Participant 1'!$C$20="Autoturism"),"Nu este cazul",""))</f>
        <v/>
      </c>
      <c r="H45" s="63"/>
    </row>
    <row r="46" spans="1:8">
      <c r="A46" s="172">
        <f t="shared" si="2"/>
        <v>33</v>
      </c>
      <c r="B46" s="75" t="s">
        <v>287</v>
      </c>
      <c r="C46" s="48"/>
      <c r="D46" s="64" t="s">
        <v>302</v>
      </c>
      <c r="E46" s="64" t="s">
        <v>258</v>
      </c>
      <c r="F46" s="74" t="str">
        <f>CONCATENATE(IF(AND(G46="&lt;Selectează tip alimentare&gt;",OR(C46="",C46="Nu este cazul")),"&lt;Selectează tip alimentare&gt;",""),IF(AND(G46="Nu este cazul",C46&lt;&gt;"Nu este cazul"),"Selectează &lt;Nu este cazul&gt;",""))</f>
        <v/>
      </c>
      <c r="G46" s="71" t="str">
        <f>CONCATENATE(IF(AND(OR($C$20="Avion",$C$20="Avion+Tren"),$C44="DA"),"&lt;Selectează tip alimentare&gt;",""),IF(AND(OR($C$20="Avion",$C$20="Avion+Tren"),$C44="NU"),"Nu este cazul",""),IF(OR('Participant 1'!$C$20="Tren",'Participant 1'!$C$20="Autoturism"),"Nu este cazul",""))</f>
        <v/>
      </c>
      <c r="H46" s="63"/>
    </row>
    <row r="47" spans="1:8">
      <c r="A47" s="172">
        <f t="shared" si="2"/>
        <v>34</v>
      </c>
      <c r="B47" s="75" t="str">
        <f>CONCATENATE("Consum la 100 Km ",IF(C46="Energie electrică","(kWh/100 Km) - WLTP",""),IF(C46="Benzină/motorină","(7,5 litri/100 Km)",""))</f>
        <v xml:space="preserve">Consum la 100 Km </v>
      </c>
      <c r="C47" s="48"/>
      <c r="D47" s="81" t="str">
        <f>IF(OR($C$46="Energie electrică"),"x","-")</f>
        <v>-</v>
      </c>
      <c r="E47" s="32"/>
      <c r="F47" s="74" t="str">
        <f>CONCATENATE(IF(AND(G47="&lt;Introdu consum&gt;",ISNUMBER(C47)&lt;&gt;TRUE),"&lt;Introdu consum&gt;",""),IF(AND(G47="Nu este cazul",C47&lt;&gt;"Nu este cazul"),"Completează cu &lt;Nu este cazul&gt;",""),IF(AND(C46="Benzină/motorină",C47&lt;&gt;7.5),"7.5",""),IF(AND(D47="x",E47="")," &lt;Selectează doc.justif.&gt;",""))</f>
        <v/>
      </c>
      <c r="G47" s="71" t="str">
        <f>CONCATENATE(IF(AND(OR($C$20="Avion",$C$20="Avion+Tren"),$C44="DA",OR($C$37="Energie electrică",$C$37="Benzină/motorină"),ISNUMBER(C47)=FALSE),"&lt;Introdu consum&gt;",""),IF(AND(OR($C$20="Avion",$C$20="Avion+Tren"),$C44="NU"),"Nu este cazul",""),IF(OR('Participant 1'!$C$20="Tren",'Participant 1'!$C$20="Autoturism"),"Nu este cazul","introdu consum"))</f>
        <v>introdu consum</v>
      </c>
      <c r="H47" s="63"/>
    </row>
    <row r="48" spans="1:8">
      <c r="A48" s="172">
        <f t="shared" si="2"/>
        <v>35</v>
      </c>
      <c r="B48" s="75" t="s">
        <v>292</v>
      </c>
      <c r="C48" s="135"/>
      <c r="D48" s="81" t="str">
        <f>IF(OR($C$46="Benzină/motorină",$C$46="Energie electrică"),"x","-")</f>
        <v>-</v>
      </c>
      <c r="E48" s="32"/>
      <c r="F48" s="74" t="str">
        <f>CONCATENATE(IF(AND(G48="&lt;Introdu valoare&gt;",ISNUMBER(C48)&lt;&gt;TRUE),"&lt;Introdu valoare&gt;",""),IF(AND(G48="Nu este cazul",C48&lt;&gt;"Nu este cazul"),"Completează cu &lt;Nu este cazul&gt;",""),IF(AND(C47="Benzină/motorină",C48&lt;&gt;7.5),"7,5 litri/100Km",""),IF(AND(D48="x",E48="")," &lt;Selectează doc.justif.&gt;",""))</f>
        <v/>
      </c>
      <c r="G48" s="71" t="str">
        <f>CONCATENATE(IF(AND(OR($C$20="Avion",$C$20="Avion+Tren"),$C44="DA",OR($C$37="Energie electrică",$C$37="Benzină/motorină"),ISNUMBER(C48)=FALSE),"&lt;Introdu valoare&gt;",""),IF(AND(OR($C$20="Avion",$C$20="Avion+Tren"),$C44="NU"),"Nu este cazul",""),IF(OR('Participant 1'!$C$20="Tren",'Participant 1'!$C$20="Autoturism"),"Nu este cazul",""))</f>
        <v/>
      </c>
      <c r="H48" s="63"/>
    </row>
    <row r="49" spans="1:13">
      <c r="A49" s="172">
        <f t="shared" si="2"/>
        <v>36</v>
      </c>
      <c r="B49" s="75" t="str">
        <f>CONCATENATE("Preț ",IF(C46="Energie electrică","pe kWh - lei",""),IF(C46="Benzină/motorină","pe litru - lei",""))</f>
        <v xml:space="preserve">Preț </v>
      </c>
      <c r="C49" s="135"/>
      <c r="D49" s="81" t="str">
        <f>IF(OR($C$46="Benzină/motorină",$C$46="Energie electrică"),"x","-")</f>
        <v>-</v>
      </c>
      <c r="E49" s="32"/>
      <c r="F49" s="74" t="str">
        <f>CONCATENATE(IF(AND(G49="&lt;Introdu preț&gt;",ISNUMBER(C49)&lt;&gt;TRUE),"&lt;Introdu preț&gt;",""),IF(AND(G49="Nu este cazul",C49&lt;&gt;"Nu este cazul"),"Completează cu &lt;Nu este cazul&gt;",""),IF(AND(C48="Benzină/motorină",C49&lt;&gt;7.5),"7,5 litri/100Km",""),IF(AND(D49="x",E49="")," &lt;Selectează doc.justif.&gt;",""))</f>
        <v/>
      </c>
      <c r="G49" s="71" t="str">
        <f>CONCATENATE(IF(AND(OR($C$20="Avion",$C$20="Avion+Tren"),$C44="DA",OR($C$37="Energie electrică",$C$37="Benzină/motorină"),ISNUMBER(C49)=FALSE),"&lt;Introdu preț&gt;",""),IF(AND(OR($C$20="Avion",$C$20="Avion+Tren"),$C44="NU"),"Nu este cazul",""),IF(OR('Participant 1'!$C$20="Tren",'Participant 1'!$C$20="Autoturism"),"Nu este cazul",""))</f>
        <v/>
      </c>
      <c r="H49" s="63"/>
    </row>
    <row r="50" spans="1:13" ht="28.5">
      <c r="A50" s="172">
        <f t="shared" si="2"/>
        <v>37</v>
      </c>
      <c r="B50" s="73" t="s">
        <v>245</v>
      </c>
      <c r="C50" s="48"/>
      <c r="D50" s="64" t="s">
        <v>302</v>
      </c>
      <c r="E50" s="64" t="s">
        <v>258</v>
      </c>
      <c r="F50" s="74" t="str">
        <f>CONCATENATE(IF(AND(G50="&lt;Selectează&gt;",OR(C50="",C50="Nu este cazul")),"Selectează &lt;Da&gt; sau &lt;Nu&gt;",""),IF(AND(G50="Nu este cazul",C50&lt;&gt;"Nu este cazul"),"Selectează &lt;Nu este cazul&gt;",""),IF(AND(D50="x",E50="")," &lt;Selectează doc.justif.&gt;",""))</f>
        <v/>
      </c>
      <c r="G50" s="71" t="str">
        <f>CONCATENATE(IF(AND(OR($C$20="Avion",$C$20="Avion+Tren"),OR(C50="",C50="Nu este cazul")),"&lt;Selectează&gt;",""),IF(OR($C$20="Tren",'Participant 1'!$C$20="Autoturism"),"Nu este cazul",""))</f>
        <v/>
      </c>
      <c r="H50" s="63"/>
    </row>
    <row r="51" spans="1:13" ht="33.75" customHeight="1">
      <c r="A51" s="172">
        <f t="shared" si="2"/>
        <v>38</v>
      </c>
      <c r="B51" s="161" t="s">
        <v>301</v>
      </c>
      <c r="C51" s="168"/>
      <c r="D51" s="81" t="str">
        <f>IF(OR($C$50="DA"),"x","-")</f>
        <v>-</v>
      </c>
      <c r="E51" s="137"/>
      <c r="F51" s="74" t="str">
        <f>CONCATENATE(IF(AND(G51="&lt;Introdu valoare&gt;",ISNUMBER(C51)&lt;&gt;TRUE),"&lt;Introdu valoare&gt;",""),IF(AND(G51="Nu este cazul",C51&lt;&gt;"Nu este cazul"),"Completează cu &lt;Nu este cazul&gt;",""),IF(AND(D51="x",E51="")," &lt;Selectează doc.justif.&gt;",""))</f>
        <v/>
      </c>
      <c r="G51" s="71" t="str">
        <f>CONCATENATE(IF(AND($C$50="DA",ISNUMBER(C51)=FALSE),"&lt;Introdu valoare&gt;",""),IF(C50="NU","Nu este cazul",""),IF(OR('Participant 1'!$C$20="Tren",'Participant 1'!$C$20="Autoturism"),"Nu este cazul",""))</f>
        <v/>
      </c>
      <c r="H51" s="80"/>
    </row>
    <row r="52" spans="1:13" ht="15">
      <c r="A52" s="205" t="s">
        <v>312</v>
      </c>
      <c r="B52" s="206"/>
      <c r="C52" s="76" t="str">
        <f>CONCATENATE("Valoare - ",Calcule!C5)</f>
        <v>Valoare - Nu este cazul</v>
      </c>
      <c r="D52" s="205"/>
      <c r="E52" s="206"/>
      <c r="F52" s="84"/>
    </row>
    <row r="53" spans="1:13">
      <c r="A53" s="172">
        <f>A51+1</f>
        <v>39</v>
      </c>
      <c r="B53" s="67" t="s">
        <v>273</v>
      </c>
      <c r="C53" s="162"/>
      <c r="D53" s="81" t="str">
        <f>IF(C53&lt;&gt;0,"x","")</f>
        <v/>
      </c>
      <c r="E53" s="97"/>
      <c r="F53" s="74" t="str">
        <f>IF(AND(D53="x",E53="")," &lt;Selectează doc.justif.&gt;","")</f>
        <v/>
      </c>
    </row>
    <row r="54" spans="1:13">
      <c r="A54" s="172">
        <f t="shared" ref="A54:A58" si="3">A53+1</f>
        <v>40</v>
      </c>
      <c r="B54" s="67" t="s">
        <v>252</v>
      </c>
      <c r="C54" s="162"/>
      <c r="D54" s="81" t="str">
        <f>IF(C54&lt;&gt;0,"x","")</f>
        <v/>
      </c>
      <c r="E54" s="97"/>
      <c r="F54" s="74" t="str">
        <f>CONCATENATE(Calcule!C22," ",IF(AND(D54="x",E54="")," &lt;Selectează doc.justif.&gt;",""))</f>
        <v xml:space="preserve"> </v>
      </c>
    </row>
    <row r="55" spans="1:13" ht="16.5" customHeight="1">
      <c r="A55" s="172">
        <f t="shared" si="3"/>
        <v>41</v>
      </c>
      <c r="B55" s="67" t="s">
        <v>32</v>
      </c>
      <c r="C55" s="162"/>
      <c r="D55" s="81" t="str">
        <f>IF(C55&lt;&gt;0,"x","")</f>
        <v/>
      </c>
      <c r="E55" s="97"/>
      <c r="F55" s="74" t="str">
        <f>CONCATENATE(Calcule!C25," ",IF(AND(D55="x",E55="")," &lt;Selectează doc.justif.&gt;",""))</f>
        <v xml:space="preserve"> </v>
      </c>
    </row>
    <row r="56" spans="1:13" s="33" customFormat="1" ht="42.75">
      <c r="A56" s="172">
        <f t="shared" si="3"/>
        <v>42</v>
      </c>
      <c r="B56" s="65" t="s">
        <v>304</v>
      </c>
      <c r="C56" s="162"/>
      <c r="D56" s="81" t="str">
        <f>IF(C56&lt;&gt;0,"x","")</f>
        <v/>
      </c>
      <c r="E56" s="97"/>
      <c r="F56" s="74" t="str">
        <f>IF(AND(D56="x",E56="")," &lt;Selectează doc.justif.&gt;","")</f>
        <v/>
      </c>
      <c r="H56" s="31"/>
      <c r="I56" s="31"/>
      <c r="J56" s="31"/>
      <c r="K56" s="31"/>
      <c r="L56" s="31"/>
      <c r="M56" s="31"/>
    </row>
    <row r="57" spans="1:13" s="33" customFormat="1" ht="30">
      <c r="A57" s="172">
        <f t="shared" si="3"/>
        <v>43</v>
      </c>
      <c r="B57" s="98" t="str">
        <f>CONCATENATE("TOTAL [ (39) + ... + (43) ] - ",Calcule!C5)</f>
        <v>TOTAL [ (39) + ... + (43) ] - Nu este cazul</v>
      </c>
      <c r="C57" s="163">
        <f>SUM(C53:C56)</f>
        <v>0</v>
      </c>
      <c r="D57" s="64" t="s">
        <v>258</v>
      </c>
      <c r="E57" s="64" t="s">
        <v>258</v>
      </c>
      <c r="F57" s="85"/>
      <c r="H57" s="31"/>
      <c r="I57" s="31"/>
      <c r="J57" s="31"/>
      <c r="K57" s="31"/>
      <c r="L57" s="31"/>
      <c r="M57" s="31"/>
    </row>
    <row r="58" spans="1:13" s="33" customFormat="1" ht="30">
      <c r="A58" s="172">
        <f t="shared" si="3"/>
        <v>44</v>
      </c>
      <c r="B58" s="160" t="s">
        <v>317</v>
      </c>
      <c r="C58" s="77">
        <f>C57*C11</f>
        <v>0</v>
      </c>
      <c r="D58" s="64" t="s">
        <v>258</v>
      </c>
      <c r="E58" s="64" t="s">
        <v>258</v>
      </c>
      <c r="F58" s="85"/>
      <c r="H58" s="31"/>
      <c r="I58" s="31"/>
      <c r="J58" s="31"/>
      <c r="K58" s="31"/>
      <c r="L58" s="31"/>
      <c r="M58" s="31"/>
    </row>
    <row r="59" spans="1:13" ht="14.45" customHeight="1">
      <c r="A59" s="205" t="s">
        <v>313</v>
      </c>
      <c r="B59" s="206"/>
      <c r="C59" s="76" t="s">
        <v>255</v>
      </c>
      <c r="D59" s="205"/>
      <c r="E59" s="206"/>
      <c r="F59" s="84"/>
      <c r="M59" s="33"/>
    </row>
    <row r="60" spans="1:13">
      <c r="A60" s="172">
        <f>A58+1</f>
        <v>45</v>
      </c>
      <c r="B60" s="67" t="s">
        <v>253</v>
      </c>
      <c r="C60" s="164"/>
      <c r="D60" s="81" t="str">
        <f>IF(C60&lt;&gt;0,"x","")</f>
        <v/>
      </c>
      <c r="E60" s="32"/>
      <c r="F60" s="74" t="str">
        <f>CONCATENATE(Calcule!C33," ",IF(AND(D60="x",E60="")," &lt;Selectează doc.justif.&gt;",""))</f>
        <v xml:space="preserve"> </v>
      </c>
    </row>
    <row r="61" spans="1:13">
      <c r="A61" s="172">
        <f t="shared" ref="A61:A66" si="4">A60+1</f>
        <v>46</v>
      </c>
      <c r="B61" s="67" t="s">
        <v>254</v>
      </c>
      <c r="C61" s="164"/>
      <c r="D61" s="81" t="str">
        <f>IF(C61&lt;&gt;0,"x","")</f>
        <v/>
      </c>
      <c r="E61" s="32"/>
      <c r="F61" s="74" t="str">
        <f>CONCATENATE(Calcule!C36," ",IF(AND(D61="x",E61="")," &lt;Selectează doc.justif.&gt;",""))</f>
        <v xml:space="preserve"> </v>
      </c>
    </row>
    <row r="62" spans="1:13" ht="57">
      <c r="A62" s="172">
        <f t="shared" si="4"/>
        <v>47</v>
      </c>
      <c r="B62" s="67" t="s">
        <v>275</v>
      </c>
      <c r="C62" s="165">
        <f>SUM(C63:C65)</f>
        <v>0</v>
      </c>
      <c r="D62" s="81" t="str">
        <f>IF(C62&lt;&gt;0,"x","")</f>
        <v/>
      </c>
      <c r="E62" s="97"/>
      <c r="F62" s="74" t="str">
        <f>IF(AND(D62="x",E62="")," &lt;Selectează doc.justif.&gt;","")</f>
        <v/>
      </c>
    </row>
    <row r="63" spans="1:13" ht="42.75">
      <c r="A63" s="172">
        <f>A62+1</f>
        <v>48</v>
      </c>
      <c r="B63" s="67" t="s">
        <v>335</v>
      </c>
      <c r="C63" s="165">
        <f>IF(AND($C$35="DA",$C$37="Benzină/motorină"),MIN($C$38*$C$36/100*$C$40,$C$39),0)+IF(AND($C$44="DA",$C$46="Benzină/motorină"),MIN($C$47*$C$45/100*$C$49,$C$48),0)</f>
        <v>0</v>
      </c>
      <c r="D63" s="81" t="str">
        <f>IF(C63&lt;&gt;0,"x","-")</f>
        <v>-</v>
      </c>
      <c r="E63" s="32"/>
      <c r="F63" s="74" t="str">
        <f>CONCATENATE(IF(AND(ISNUMBER(C63),C63&lt;&gt;0,AND(C35&lt;&gt;"DA",C44&lt;&gt;"DA")),"Vezi (23) și (26) sau completează cu 0.00",""),IF(AND(D63="x",E63="")," &lt;Selectează doc.justif.&gt;",""))</f>
        <v/>
      </c>
    </row>
    <row r="64" spans="1:13" ht="28.5">
      <c r="A64" s="172">
        <f t="shared" si="4"/>
        <v>49</v>
      </c>
      <c r="B64" s="67" t="s">
        <v>334</v>
      </c>
      <c r="C64" s="165">
        <f>IF(AND($C$35="DA",$C$37="Energie electrică"),MIN($C$38*$C$36/100*$C$40,$C$39),0)+IF(AND($C$44="DA",$C$46="Energie electrică"),MIN($C$47*$C$45/100*$C$49,$C$48),0)</f>
        <v>0</v>
      </c>
      <c r="D64" s="81" t="str">
        <f>IF(C64&lt;&gt;0,"x","-")</f>
        <v>-</v>
      </c>
      <c r="E64" s="32"/>
      <c r="F64" s="74" t="str">
        <f>CONCATENATE(IF(AND(ISNUMBER(C63),C63&lt;&gt;0,AND(C35&lt;&gt;"DA",C44&lt;&gt;"DA")),"Vezi (23) și (26) sau completează cu 0.00","")," ",IF(AND(D64="x",E64="")," &lt;Selectează doc.justif.&gt;",""))</f>
        <v xml:space="preserve"> </v>
      </c>
    </row>
    <row r="65" spans="1:6" ht="30" customHeight="1">
      <c r="A65" s="172">
        <f t="shared" si="4"/>
        <v>50</v>
      </c>
      <c r="B65" s="67" t="s">
        <v>332</v>
      </c>
      <c r="C65" s="166">
        <f>IF(ISNUMBER(C42),C42,0)+IF(ISNUMBER(C51),C51,0)</f>
        <v>0</v>
      </c>
      <c r="D65" s="81" t="str">
        <f>IF(C65&lt;&gt;0,"x","")</f>
        <v/>
      </c>
      <c r="E65" s="97"/>
      <c r="F65" s="74" t="str">
        <f>CONCATENATE(IF(AND(ISNUMBER(C65),C65&lt;&gt;0,AND(C41&lt;&gt;"DA",C50&lt;&gt;"DA")),"Modifică (29) și (36) sau completează cu 0.00","")," ",IF(AND(D65="x",E65="")," &lt;Selectează doc.justif.&gt;",""))</f>
        <v xml:space="preserve"> </v>
      </c>
    </row>
    <row r="66" spans="1:6" ht="15">
      <c r="A66" s="172">
        <f t="shared" si="4"/>
        <v>51</v>
      </c>
      <c r="B66" s="98" t="s">
        <v>318</v>
      </c>
      <c r="C66" s="77">
        <f>SUM(C60:C62)</f>
        <v>0</v>
      </c>
      <c r="D66" s="64" t="s">
        <v>258</v>
      </c>
      <c r="E66" s="64" t="s">
        <v>258</v>
      </c>
      <c r="F66" s="84"/>
    </row>
    <row r="67" spans="1:6" ht="15.75">
      <c r="A67" s="173">
        <f>A66+1</f>
        <v>52</v>
      </c>
      <c r="B67" s="95" t="s">
        <v>331</v>
      </c>
      <c r="C67" s="78">
        <f>ROUND(C58+C66,2)</f>
        <v>0</v>
      </c>
      <c r="D67" s="64" t="s">
        <v>258</v>
      </c>
      <c r="E67" s="64" t="s">
        <v>258</v>
      </c>
      <c r="F67" s="84"/>
    </row>
    <row r="68" spans="1:6" ht="15">
      <c r="B68" s="96"/>
      <c r="C68" s="79"/>
      <c r="D68" s="79"/>
      <c r="E68" s="80"/>
    </row>
    <row r="69" spans="1:6" ht="28.5">
      <c r="B69" s="71" t="s">
        <v>357</v>
      </c>
    </row>
    <row r="70" spans="1:6">
      <c r="B70" s="97" t="s">
        <v>383</v>
      </c>
    </row>
    <row r="71" spans="1:6">
      <c r="B71" s="109" t="s">
        <v>385</v>
      </c>
    </row>
    <row r="72" spans="1:6">
      <c r="B72" s="170" t="s">
        <v>374</v>
      </c>
    </row>
    <row r="73" spans="1:6">
      <c r="B73" s="170" t="s">
        <v>384</v>
      </c>
    </row>
    <row r="74" spans="1:6">
      <c r="B74" s="170" t="s">
        <v>376</v>
      </c>
    </row>
    <row r="75" spans="1:6">
      <c r="B75" s="109" t="s">
        <v>359</v>
      </c>
    </row>
    <row r="76" spans="1:6">
      <c r="B76" s="97" t="s">
        <v>358</v>
      </c>
    </row>
    <row r="77" spans="1:6">
      <c r="B77" s="97"/>
    </row>
    <row r="78" spans="1:6">
      <c r="B78" s="109"/>
    </row>
    <row r="79" spans="1:6">
      <c r="B79" s="97"/>
    </row>
    <row r="80" spans="1:6">
      <c r="B80" s="97"/>
    </row>
    <row r="81" spans="2:5">
      <c r="B81" s="97"/>
    </row>
    <row r="82" spans="2:5">
      <c r="B82" s="97"/>
    </row>
    <row r="83" spans="2:5">
      <c r="B83" s="97"/>
    </row>
    <row r="84" spans="2:5">
      <c r="B84" s="97"/>
    </row>
    <row r="85" spans="2:5">
      <c r="E85" s="31" t="str">
        <f>IF(NOT(F4=""),"*","")</f>
        <v>*</v>
      </c>
    </row>
    <row r="86" spans="2:5" ht="18" customHeight="1">
      <c r="B86" s="128" t="s">
        <v>325</v>
      </c>
      <c r="C86" s="86"/>
      <c r="D86" s="86"/>
    </row>
    <row r="87" spans="2:5" ht="25.5" customHeight="1">
      <c r="B87" s="45" t="str">
        <f>CONCATENATE('Date generale'!B8,",")</f>
        <v>Reprezentant legal/împuternicit,</v>
      </c>
      <c r="C87" s="8"/>
      <c r="D87" s="118" t="s">
        <v>324</v>
      </c>
    </row>
    <row r="88" spans="2:5" ht="15">
      <c r="B88" s="45" t="str">
        <f>CONCATENATE("",'Date generale'!C8)</f>
        <v/>
      </c>
      <c r="C88" s="8"/>
      <c r="D88" s="200" t="str">
        <f>CONCATENATE("",C6)</f>
        <v/>
      </c>
      <c r="E88" s="200"/>
    </row>
  </sheetData>
  <sheetProtection algorithmName="SHA-512" hashValue="TXrqH11nXkJCo2MkKY8ihAL/ffE7jiHrUm4Q2yT8tSxtUAnwLRcwf4e18zopfyaScG2FAI9rgM9fQjiAzQXNFA==" saltValue="sEDsnearMN3AWpdD4Pgmgw==" spinCount="100000" sheet="1" selectLockedCells="1"/>
  <mergeCells count="14">
    <mergeCell ref="D88:E88"/>
    <mergeCell ref="A4:E4"/>
    <mergeCell ref="A19:C19"/>
    <mergeCell ref="A24:E24"/>
    <mergeCell ref="A29:E29"/>
    <mergeCell ref="A34:E34"/>
    <mergeCell ref="A43:E43"/>
    <mergeCell ref="A52:B52"/>
    <mergeCell ref="A59:B59"/>
    <mergeCell ref="A12:E12"/>
    <mergeCell ref="A15:E15"/>
    <mergeCell ref="D52:E52"/>
    <mergeCell ref="D59:E59"/>
    <mergeCell ref="A21:E21"/>
  </mergeCells>
  <phoneticPr fontId="22" type="noConversion"/>
  <conditionalFormatting sqref="C13:C14">
    <cfRule type="cellIs" dxfId="30" priority="1" operator="lessThan">
      <formula>$C$13</formula>
    </cfRule>
  </conditionalFormatting>
  <conditionalFormatting sqref="C16:C17">
    <cfRule type="cellIs" dxfId="29" priority="2" operator="lessThan">
      <formula>$C$13</formula>
    </cfRule>
  </conditionalFormatting>
  <conditionalFormatting sqref="F19:F51">
    <cfRule type="containsText" dxfId="28" priority="12" operator="containsText" text="Nu este cazul">
      <formula>NOT(ISERROR(SEARCH("Nu este cazul",F19)))</formula>
    </cfRule>
  </conditionalFormatting>
  <conditionalFormatting sqref="G20">
    <cfRule type="containsText" dxfId="27" priority="51" operator="containsText" text="Nu este cazul">
      <formula>NOT(ISERROR(SEARCH("Nu este cazul",G20)))</formula>
    </cfRule>
  </conditionalFormatting>
  <conditionalFormatting sqref="G41 G43:G46 G35:G37">
    <cfRule type="expression" dxfId="23" priority="43">
      <formula>"1=1"</formula>
    </cfRule>
  </conditionalFormatting>
  <conditionalFormatting sqref="G50">
    <cfRule type="expression" dxfId="16" priority="5">
      <formula>"1=1"</formula>
    </cfRule>
  </conditionalFormatting>
  <dataValidations count="2">
    <dataValidation type="decimal" operator="greaterThanOrEqual" allowBlank="1" showInputMessage="1" showErrorMessage="1" sqref="C60:C64 C53:C56" xr:uid="{9A662155-B877-499D-87BB-742A5BBFC22D}">
      <formula1>0</formula1>
    </dataValidation>
    <dataValidation type="list" allowBlank="1" showInputMessage="1" showErrorMessage="1" sqref="E16:E18 E47:E49 E45 E53:E56 E60:E65 E36 E13:E14 E38:E40 E51 E42" xr:uid="{5C4DEB63-0F99-4521-9B62-1270D70FA8DA}">
      <formula1>$B$70:$B$84</formula1>
    </dataValidation>
  </dataValidations>
  <pageMargins left="0.70866141732283472" right="0.70866141732283472" top="0.74803149606299213" bottom="0.74803149606299213" header="0.31496062992125984" footer="0.31496062992125984"/>
  <pageSetup paperSize="9" scale="75" fitToHeight="0" orientation="portrait" r:id="rId1"/>
  <headerFooter>
    <oddFooter>&amp;L&amp;F&amp;A&amp;R&amp;P/&amp;N</oddFooter>
  </headerFooter>
  <legacyDrawing r:id="rId2"/>
  <extLst>
    <ext xmlns:x14="http://schemas.microsoft.com/office/spreadsheetml/2009/9/main" uri="{78C0D931-6437-407d-A8EE-F0AAD7539E65}">
      <x14:conditionalFormattings>
        <x14:conditionalFormatting xmlns:xm="http://schemas.microsoft.com/office/excel/2006/main">
          <x14:cfRule type="containsText" priority="45" operator="containsText" id="{2787600F-37C7-44B2-B684-FFD2B4E2F828}">
            <xm:f>NOT(ISERROR(SEARCH(Liste!$C$214,G22)))</xm:f>
            <xm:f>Liste!$C$214</xm:f>
            <x14:dxf>
              <font>
                <color rgb="FF9C5700"/>
              </font>
              <fill>
                <patternFill>
                  <bgColor rgb="FFFFEB9C"/>
                </patternFill>
              </fill>
            </x14:dxf>
          </x14:cfRule>
          <xm:sqref>G22:G35</xm:sqref>
        </x14:conditionalFormatting>
        <x14:conditionalFormatting xmlns:xm="http://schemas.microsoft.com/office/excel/2006/main">
          <x14:cfRule type="containsText" priority="10" operator="containsText" id="{5C5A007A-9B30-4A08-91C1-0EBF261D5B86}">
            <xm:f>NOT(ISERROR(SEARCH(Liste!$C$217,G36)))</xm:f>
            <xm:f>Liste!$C$217</xm:f>
            <x14:dxf>
              <font>
                <color rgb="FF9C5700"/>
              </font>
              <fill>
                <patternFill>
                  <bgColor rgb="FFFFEB9C"/>
                </patternFill>
              </fill>
            </x14:dxf>
          </x14:cfRule>
          <xm:sqref>G36</xm:sqref>
        </x14:conditionalFormatting>
        <x14:conditionalFormatting xmlns:xm="http://schemas.microsoft.com/office/excel/2006/main">
          <x14:cfRule type="containsText" priority="46" operator="containsText" id="{24F0BAA5-655F-4601-A74F-234F3BF10DD9}">
            <xm:f>NOT(ISERROR(SEARCH(Liste!$C$217,G36)))</xm:f>
            <xm:f>Liste!$C$217</xm:f>
            <x14:dxf>
              <font>
                <color rgb="FF9C5700"/>
              </font>
              <fill>
                <patternFill>
                  <bgColor rgb="FFFFEB9C"/>
                </patternFill>
              </fill>
            </x14:dxf>
          </x14:cfRule>
          <xm:sqref>G36:G37 G41 G43</xm:sqref>
        </x14:conditionalFormatting>
        <x14:conditionalFormatting xmlns:xm="http://schemas.microsoft.com/office/excel/2006/main">
          <x14:cfRule type="containsText" priority="33" operator="containsText" id="{ECD9BA63-9FF3-45A0-9EB6-63121A8253C8}">
            <xm:f>NOT(ISERROR(SEARCH(Liste!$C$214,G41)))</xm:f>
            <xm:f>Liste!$C$214</xm:f>
            <x14:dxf>
              <font>
                <color rgb="FF9C5700"/>
              </font>
              <fill>
                <patternFill>
                  <bgColor rgb="FFFFEB9C"/>
                </patternFill>
              </fill>
            </x14:dxf>
          </x14:cfRule>
          <xm:sqref>G41</xm:sqref>
        </x14:conditionalFormatting>
        <x14:conditionalFormatting xmlns:xm="http://schemas.microsoft.com/office/excel/2006/main">
          <x14:cfRule type="containsText" priority="32" operator="containsText" id="{36CCABB3-8A7A-46A0-9915-79F43E625D38}">
            <xm:f>NOT(ISERROR(SEARCH(Liste!$C$214,G44)))</xm:f>
            <xm:f>Liste!$C$214</xm:f>
            <x14:dxf>
              <font>
                <color rgb="FF9C5700"/>
              </font>
              <fill>
                <patternFill>
                  <bgColor rgb="FFFFEB9C"/>
                </patternFill>
              </fill>
            </x14:dxf>
          </x14:cfRule>
          <x14:cfRule type="containsText" priority="53" operator="containsText" id="{28E6048A-2748-4F89-A9B3-8611A01199F7}">
            <xm:f>NOT(ISERROR(SEARCH(Liste!$C$214,G44)))</xm:f>
            <xm:f>Liste!$C$214</xm:f>
            <x14:dxf>
              <font>
                <color rgb="FF9C5700"/>
              </font>
              <fill>
                <patternFill>
                  <bgColor rgb="FFFFEB9C"/>
                </patternFill>
              </fill>
            </x14:dxf>
          </x14:cfRule>
          <xm:sqref>G44</xm:sqref>
        </x14:conditionalFormatting>
        <x14:conditionalFormatting xmlns:xm="http://schemas.microsoft.com/office/excel/2006/main">
          <x14:cfRule type="containsText" priority="47" operator="containsText" id="{E18D42A3-18D3-4769-B1C1-6F6500FC4AAF}">
            <xm:f>NOT(ISERROR(SEARCH(Liste!$C$217,G45)))</xm:f>
            <xm:f>Liste!$C$217</xm:f>
            <x14:dxf>
              <font>
                <color rgb="FF9C5700"/>
              </font>
              <fill>
                <patternFill>
                  <bgColor rgb="FFFFEB9C"/>
                </patternFill>
              </fill>
            </x14:dxf>
          </x14:cfRule>
          <xm:sqref>G45</xm:sqref>
        </x14:conditionalFormatting>
        <x14:conditionalFormatting xmlns:xm="http://schemas.microsoft.com/office/excel/2006/main">
          <x14:cfRule type="containsText" priority="29" operator="containsText" id="{50113856-0ABD-47BF-9FD1-F2FED2D03F59}">
            <xm:f>NOT(ISERROR(SEARCH(Liste!$C$217,G45)))</xm:f>
            <xm:f>Liste!$C$217</xm:f>
            <x14:dxf>
              <font>
                <color rgb="FF9C5700"/>
              </font>
              <fill>
                <patternFill>
                  <bgColor rgb="FFFFEB9C"/>
                </patternFill>
              </fill>
            </x14:dxf>
          </x14:cfRule>
          <xm:sqref>G45:G46</xm:sqref>
        </x14:conditionalFormatting>
        <x14:conditionalFormatting xmlns:xm="http://schemas.microsoft.com/office/excel/2006/main">
          <x14:cfRule type="containsText" priority="4" operator="containsText" id="{EC848B61-80F6-467E-8772-E5E7071445C7}">
            <xm:f>NOT(ISERROR(SEARCH(Liste!$C$214,G50)))</xm:f>
            <xm:f>Liste!$C$214</xm:f>
            <x14:dxf>
              <font>
                <color rgb="FF9C5700"/>
              </font>
              <fill>
                <patternFill>
                  <bgColor rgb="FFFFEB9C"/>
                </patternFill>
              </fill>
            </x14:dxf>
          </x14:cfRule>
          <xm:sqref>G50</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A8E70727-E672-4B9F-9288-A2996044E1B7}">
          <x14:formula1>
            <xm:f>Liste!$C$2:$C$3</xm:f>
          </x14:formula1>
          <xm:sqref>C7</xm:sqref>
        </x14:dataValidation>
        <x14:dataValidation type="list" allowBlank="1" showInputMessage="1" showErrorMessage="1" xr:uid="{91F39D2D-B4AC-47EC-AED0-2756DD6CE327}">
          <x14:formula1>
            <xm:f>Liste!$C$215:$C$217</xm:f>
          </x14:formula1>
          <xm:sqref>H44 C35 C50 C44 H35 C41</xm:sqref>
        </x14:dataValidation>
        <x14:dataValidation type="list" allowBlank="1" showInputMessage="1" showErrorMessage="1" xr:uid="{CAD96CAF-1F43-4A5D-84A8-72C4B2563551}">
          <x14:formula1>
            <xm:f>Liste!$L$3:$L$8</xm:f>
          </x14:formula1>
          <xm:sqref>H50:H51 H29 H34 H22:H24 H41:H42 C22:C23</xm:sqref>
        </x14:dataValidation>
        <x14:dataValidation type="list" allowBlank="1" showInputMessage="1" showErrorMessage="1" xr:uid="{C26FD0A6-00AC-4428-8FC5-A65C6E60C200}">
          <x14:formula1>
            <xm:f>Liste!$C$6:$C$9</xm:f>
          </x14:formula1>
          <xm:sqref>H20 C20</xm:sqref>
        </x14:dataValidation>
        <x14:dataValidation type="list" allowBlank="1" showInputMessage="1" showErrorMessage="1" xr:uid="{246CAF42-1B50-4DA1-A2C7-BDEB9149ECDF}">
          <x14:formula1>
            <xm:f>Liste!$N$2:$N$4</xm:f>
          </x14:formula1>
          <xm:sqref>C37 C46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D2252A-B3F4-424E-B80A-9954F0DCFF9A}">
  <dimension ref="A1:M89"/>
  <sheetViews>
    <sheetView zoomScaleNormal="100" zoomScaleSheetLayoutView="85" workbookViewId="0">
      <selection activeCell="B70" sqref="B70"/>
    </sheetView>
  </sheetViews>
  <sheetFormatPr defaultColWidth="8.85546875" defaultRowHeight="14.25"/>
  <cols>
    <col min="1" max="1" width="4.7109375" style="31" customWidth="1"/>
    <col min="2" max="2" width="36.28515625" style="34" customWidth="1"/>
    <col min="3" max="3" width="17.28515625" style="31" customWidth="1"/>
    <col min="4" max="4" width="4.7109375" style="31" customWidth="1"/>
    <col min="5" max="5" width="45.7109375" style="31" customWidth="1"/>
    <col min="6" max="6" width="30.28515625" style="86" customWidth="1"/>
    <col min="7" max="7" width="21.140625" style="31" hidden="1" customWidth="1"/>
    <col min="8" max="8" width="13.140625" style="31" hidden="1" customWidth="1"/>
    <col min="9" max="9" width="19.5703125" style="31" hidden="1" customWidth="1"/>
    <col min="10" max="16384" width="8.85546875" style="31"/>
  </cols>
  <sheetData>
    <row r="1" spans="1:8" ht="15.75">
      <c r="A1" s="91" t="str">
        <f>CONCATENATE("Partener: ",'Date generale'!C5)</f>
        <v xml:space="preserve">Partener: </v>
      </c>
    </row>
    <row r="2" spans="1:8" ht="15.75">
      <c r="A2" s="91" t="str">
        <f>CONCATENATE( "Acord de parteneriat: ",'Date generale'!C3)</f>
        <v xml:space="preserve">Acord de parteneriat: </v>
      </c>
    </row>
    <row r="4" spans="1:8" ht="15.75">
      <c r="A4" s="201" t="str">
        <f>CONCATENATE("Decont participant ",C6)</f>
        <v xml:space="preserve">Decont participant </v>
      </c>
      <c r="B4" s="201"/>
      <c r="C4" s="201"/>
      <c r="D4" s="201"/>
      <c r="E4" s="201"/>
      <c r="F4" s="59" t="str">
        <f>IF(TRIM(CONCATENATE(F6,F7,F9,F10,F12,F13,F14,F15,F16,F17,F18,F11,F19,F20,F21,F22,F23,F24,F25,F26,F29,F30,F31,F34,F35,F36,F37,F38,F39,F40,F41,F42,F43,F44,F45,F46,F47,F48,F49,F50,F51,F53,F54,F55,F61,F62,F63,F64,F65))&lt;&gt;"","Atenționări!","")</f>
        <v>Atenționări!</v>
      </c>
    </row>
    <row r="5" spans="1:8" ht="15.75">
      <c r="A5" s="58"/>
      <c r="B5" s="94" t="s">
        <v>299</v>
      </c>
      <c r="C5" s="82" t="s">
        <v>300</v>
      </c>
      <c r="D5" s="82" t="s">
        <v>296</v>
      </c>
      <c r="E5" s="82" t="s">
        <v>33</v>
      </c>
      <c r="F5" s="83"/>
    </row>
    <row r="6" spans="1:8">
      <c r="A6" s="60">
        <v>1</v>
      </c>
      <c r="B6" s="61" t="s">
        <v>16</v>
      </c>
      <c r="C6" s="62" t="str">
        <f>IF('Date generale'!C16&lt;&gt;"",'Date generale'!C16,"")</f>
        <v/>
      </c>
      <c r="D6" s="64" t="s">
        <v>258</v>
      </c>
      <c r="E6" s="64" t="s">
        <v>258</v>
      </c>
      <c r="F6" s="84"/>
    </row>
    <row r="7" spans="1:8">
      <c r="A7" s="60">
        <f>A6+1</f>
        <v>2</v>
      </c>
      <c r="B7" s="61" t="s">
        <v>257</v>
      </c>
      <c r="C7" s="48" t="s">
        <v>222</v>
      </c>
      <c r="D7" s="64" t="s">
        <v>258</v>
      </c>
      <c r="E7" s="64" t="s">
        <v>258</v>
      </c>
      <c r="F7" s="74" t="str">
        <f>IF(C7="","&lt;Selectează categoria&gt;","")</f>
        <v/>
      </c>
    </row>
    <row r="8" spans="1:8">
      <c r="A8" s="60">
        <f t="shared" ref="A8:A18" si="0">A7+1</f>
        <v>3</v>
      </c>
      <c r="B8" s="61" t="s">
        <v>256</v>
      </c>
      <c r="C8" s="64" t="str">
        <f>IF(Calcule!C5&lt;&gt;0,Calcule!C5,"")</f>
        <v>Nu este cazul</v>
      </c>
      <c r="D8" s="64" t="s">
        <v>258</v>
      </c>
      <c r="E8" s="64" t="s">
        <v>258</v>
      </c>
      <c r="F8" s="84"/>
    </row>
    <row r="9" spans="1:8" ht="28.5">
      <c r="A9" s="60">
        <f t="shared" si="0"/>
        <v>4</v>
      </c>
      <c r="B9" s="65" t="str">
        <f>CONCATENATE(IF('Date generale'!C27="DA","Plafon indemnizație ","Indemnizație "),"cazare/noapte - ",C7," pentru ",'Date generale'!C25," - ",IF(C8&lt;&gt;0,C8,""))</f>
        <v>Indemnizație cazare/noapte - Categoria I pentru  - Nu este cazul</v>
      </c>
      <c r="C9" s="62" t="str">
        <f>IF(Calcule!C7&lt;&gt;0,Calcule!C7,"")</f>
        <v/>
      </c>
      <c r="D9" s="64" t="s">
        <v>258</v>
      </c>
      <c r="E9" s="64" t="s">
        <v>258</v>
      </c>
      <c r="F9" s="84"/>
      <c r="H9" s="66"/>
    </row>
    <row r="10" spans="1:8" ht="28.5">
      <c r="A10" s="60">
        <f t="shared" si="0"/>
        <v>5</v>
      </c>
      <c r="B10" s="65" t="str">
        <f>CONCATENATE("Nivel diurnă/zi - ",C7," pentru ",'Date generale'!C25," - ",IF(C8&lt;&gt;0,C8,""))</f>
        <v>Nivel diurnă/zi - Categoria I pentru  - Nu este cazul</v>
      </c>
      <c r="C10" s="62" t="str">
        <f>IF(Calcule!C8&lt;&gt;0,Calcule!C8,"")</f>
        <v/>
      </c>
      <c r="D10" s="64" t="s">
        <v>258</v>
      </c>
      <c r="E10" s="64" t="s">
        <v>258</v>
      </c>
      <c r="F10" s="84"/>
    </row>
    <row r="11" spans="1:8">
      <c r="A11" s="60">
        <f t="shared" si="0"/>
        <v>6</v>
      </c>
      <c r="B11" s="138" t="str">
        <f>CONCATENATE("Curs valutar de decontare - (lei/",IF('Date generale'!C25&lt;&gt;"",CONCATENATE(,VLOOKUP('Date generale'!C25,Liste!C17:H183,2),")",""),""))</f>
        <v>Curs valutar de decontare - (lei/</v>
      </c>
      <c r="C11" s="139"/>
      <c r="D11" s="140" t="s">
        <v>258</v>
      </c>
      <c r="E11" s="140" t="s">
        <v>258</v>
      </c>
      <c r="F11" s="74" t="str">
        <f>IF(C11="","&lt;Completează curs&gt;","")</f>
        <v>&lt;Completează curs&gt;</v>
      </c>
      <c r="G11" s="68"/>
    </row>
    <row r="12" spans="1:8" ht="15">
      <c r="A12" s="202" t="s">
        <v>259</v>
      </c>
      <c r="B12" s="203"/>
      <c r="C12" s="203"/>
      <c r="D12" s="203"/>
      <c r="E12" s="204"/>
      <c r="F12" s="84"/>
    </row>
    <row r="13" spans="1:8" ht="28.5">
      <c r="A13" s="60">
        <f>A11+1</f>
        <v>7</v>
      </c>
      <c r="B13" s="141" t="s">
        <v>361</v>
      </c>
      <c r="C13" s="142"/>
      <c r="D13" s="143" t="s">
        <v>297</v>
      </c>
      <c r="E13" s="144"/>
      <c r="F13" s="74" t="str">
        <f>IF(AND(D13="x",E13="")," &lt;Selectează doc.justif.&gt;","")</f>
        <v xml:space="preserve"> &lt;Selectează doc.justif.&gt;</v>
      </c>
      <c r="G13" s="68"/>
    </row>
    <row r="14" spans="1:8" ht="28.5">
      <c r="A14" s="60">
        <f t="shared" si="0"/>
        <v>8</v>
      </c>
      <c r="B14" s="138" t="s">
        <v>362</v>
      </c>
      <c r="C14" s="142"/>
      <c r="D14" s="145" t="s">
        <v>297</v>
      </c>
      <c r="E14" s="146"/>
      <c r="F14" s="74" t="str">
        <f>IF(AND(D14="x",E14="")," &lt;Selectează doc.justif.&gt;","")</f>
        <v xml:space="preserve"> &lt;Selectează doc.justif.&gt;</v>
      </c>
      <c r="G14" s="68"/>
    </row>
    <row r="15" spans="1:8" ht="15" customHeight="1">
      <c r="A15" s="202" t="s">
        <v>260</v>
      </c>
      <c r="B15" s="203"/>
      <c r="C15" s="203"/>
      <c r="D15" s="203"/>
      <c r="E15" s="204"/>
      <c r="F15" s="74"/>
      <c r="G15" s="68"/>
    </row>
    <row r="16" spans="1:8">
      <c r="A16" s="60">
        <f>A14+1</f>
        <v>9</v>
      </c>
      <c r="B16" s="141" t="s">
        <v>23</v>
      </c>
      <c r="C16" s="142"/>
      <c r="D16" s="143" t="s">
        <v>297</v>
      </c>
      <c r="E16" s="144"/>
      <c r="F16" s="74" t="str">
        <f>CONCATENATE(Calcule!D20,IF(AND(D16="x",E16="")," &lt;Selectează doc.justif.&gt;",""))</f>
        <v xml:space="preserve"> &lt;Selectează doc.justif.&gt;</v>
      </c>
      <c r="G16" s="68"/>
    </row>
    <row r="17" spans="1:8">
      <c r="A17" s="60">
        <f t="shared" si="0"/>
        <v>10</v>
      </c>
      <c r="B17" s="67" t="s">
        <v>24</v>
      </c>
      <c r="C17" s="142"/>
      <c r="D17" s="81" t="s">
        <v>297</v>
      </c>
      <c r="E17" s="146"/>
      <c r="F17" s="74" t="str">
        <f>CONCATENATE(Calcule!D21,IF(AND(D17="x",E17="")," &lt;Selectează doc.justif.&gt;",""))</f>
        <v xml:space="preserve"> &lt;Selectează doc.justif.&gt;</v>
      </c>
      <c r="G17" s="68"/>
    </row>
    <row r="18" spans="1:8" ht="28.5">
      <c r="A18" s="60">
        <f t="shared" si="0"/>
        <v>11</v>
      </c>
      <c r="B18" s="147" t="s">
        <v>305</v>
      </c>
      <c r="C18" s="148"/>
      <c r="D18" s="81" t="s">
        <v>297</v>
      </c>
      <c r="E18" s="146"/>
      <c r="F18" s="74" t="str">
        <f>CONCATENATE(IF(C18="","&lt;Completează&gt;",""),Calcule!D16,IF(AND(D18="x",E18="")," &lt;Selectează doc.justif.&gt;",""))</f>
        <v>&lt;Completează&gt; &lt;Selectează doc.justif.&gt;</v>
      </c>
      <c r="G18" s="68"/>
    </row>
    <row r="19" spans="1:8" ht="14.45" customHeight="1">
      <c r="A19" s="202" t="s">
        <v>43</v>
      </c>
      <c r="B19" s="203"/>
      <c r="C19" s="204"/>
      <c r="D19" s="69"/>
      <c r="E19" s="69"/>
      <c r="F19" s="74"/>
      <c r="G19" s="63"/>
      <c r="H19" s="33"/>
    </row>
    <row r="20" spans="1:8">
      <c r="A20" s="60">
        <f>A18+1</f>
        <v>12</v>
      </c>
      <c r="B20" s="151" t="s">
        <v>272</v>
      </c>
      <c r="C20" s="152"/>
      <c r="D20" s="64" t="s">
        <v>258</v>
      </c>
      <c r="E20" s="64" t="s">
        <v>258</v>
      </c>
      <c r="F20" s="74" t="str">
        <f>CONCATENATE(IF(G20="&lt;Selectează&gt;","Selectează mijlocul de deplasare",""),IF(AND(G20="Nu este cazul",C20&lt;&gt;"Nu este cazul"),"Selectează &lt;Nu este cazul&gt;",""))</f>
        <v>Selectează mijlocul de deplasare</v>
      </c>
      <c r="G20" s="70" t="str">
        <f>IF(C20="","&lt;Selectează&gt;","")</f>
        <v>&lt;Selectează&gt;</v>
      </c>
      <c r="H20" s="63"/>
    </row>
    <row r="21" spans="1:8" ht="14.45" customHeight="1">
      <c r="A21" s="202" t="s">
        <v>7</v>
      </c>
      <c r="B21" s="203"/>
      <c r="C21" s="204"/>
      <c r="D21" s="69"/>
      <c r="E21" s="69"/>
      <c r="F21" s="74"/>
      <c r="G21" s="33"/>
      <c r="H21" s="33"/>
    </row>
    <row r="22" spans="1:8" ht="28.5">
      <c r="A22" s="60">
        <f>A20+1</f>
        <v>13</v>
      </c>
      <c r="B22" s="149" t="s">
        <v>21</v>
      </c>
      <c r="C22" s="150"/>
      <c r="D22" s="64" t="s">
        <v>258</v>
      </c>
      <c r="E22" s="64" t="s">
        <v>258</v>
      </c>
      <c r="F22" s="74" t="str">
        <f>CONCATENATE(IF(AND(G22="&lt;Selectează&gt;",OR(C22="",C22="Nu este cazul")),"Selectează o localitate",""),IF(AND(G22="Nu este cazul",C22&lt;&gt;"Nu este cazul"),"Selectează &lt;Nu este cazul&gt;",""))</f>
        <v/>
      </c>
      <c r="G22" s="71" t="str">
        <f>CONCATENATE(IF(AND(OR($C$20="Avion",$C$20="Avion+tren"),OR(C22="",C22="Nu este cazul")),"&lt;Selectează&gt;",""),IF(OR($C$20="Tren",$C$20="Autoturism"),"Nu este cazul",""))</f>
        <v/>
      </c>
      <c r="H22" s="63"/>
    </row>
    <row r="23" spans="1:8" ht="28.5">
      <c r="A23" s="60">
        <f>A22+1</f>
        <v>14</v>
      </c>
      <c r="B23" s="65" t="s">
        <v>22</v>
      </c>
      <c r="C23" s="154"/>
      <c r="D23" s="64" t="s">
        <v>258</v>
      </c>
      <c r="E23" s="64" t="s">
        <v>258</v>
      </c>
      <c r="F23" s="74" t="str">
        <f>CONCATENATE(IF(AND(G23="&lt;Selectează&gt;",OR(C23="",C23="Nu este cazul")),"Selectează o localitate",""),IF(AND(G23="Nu este cazul",C23&lt;&gt;"Nu este cazul"),"Selectează &lt;Nu este cazul&gt;",""))</f>
        <v/>
      </c>
      <c r="G23" s="71" t="str">
        <f>CONCATENATE(IF(AND(OR($C$20="Avion",$C$20="Avion+tren"),OR(C23="",C23="Nu este cazul")),"&lt;Selectează&gt;",""),IF(OR($C$20="Tren",$C$20="Autoturism"),"Nu este cazul",""))</f>
        <v/>
      </c>
      <c r="H23" s="63"/>
    </row>
    <row r="24" spans="1:8" ht="14.45" customHeight="1">
      <c r="A24" s="208" t="s">
        <v>8</v>
      </c>
      <c r="B24" s="208"/>
      <c r="C24" s="208"/>
      <c r="D24" s="208"/>
      <c r="E24" s="208"/>
      <c r="F24" s="74"/>
      <c r="G24" s="33"/>
      <c r="H24" s="33"/>
    </row>
    <row r="25" spans="1:8" ht="14.25" customHeight="1">
      <c r="A25" s="60">
        <f>A23+1</f>
        <v>15</v>
      </c>
      <c r="B25" s="65" t="s">
        <v>264</v>
      </c>
      <c r="C25" s="155"/>
      <c r="D25" s="64" t="s">
        <v>258</v>
      </c>
      <c r="E25" s="64" t="s">
        <v>258</v>
      </c>
      <c r="F25" s="74" t="str">
        <f>CONCATENATE(IF(AND(G25="&lt;Completează&gt;",OR(C25="",C25="Nu este cazul")),"Completează o localitate",""),IF(AND(G25="Nu este cazul",C25&lt;&gt;"Nu este cazul"),"Completează &lt;Nu este cazul&gt;",""))</f>
        <v/>
      </c>
      <c r="G25" s="71" t="str">
        <f>CONCATENATE(IF(AND(OR($C$20="Avion+Tren",$C$20="Tren"),OR(C25="",C25="Nu este cazul")),"&lt;Completează&gt;",""),IF(OR('Participant 1'!$C$20="Avion",'Participant 1'!$C$20="Autoturism"),"Nu este cazul",""))</f>
        <v/>
      </c>
      <c r="H25" s="66"/>
    </row>
    <row r="26" spans="1:8" ht="14.25" customHeight="1">
      <c r="A26" s="60">
        <f>A25+1</f>
        <v>16</v>
      </c>
      <c r="B26" s="65" t="s">
        <v>265</v>
      </c>
      <c r="C26" s="136"/>
      <c r="D26" s="64" t="s">
        <v>258</v>
      </c>
      <c r="E26" s="64" t="s">
        <v>258</v>
      </c>
      <c r="F26" s="74" t="str">
        <f>CONCATENATE(IF(AND(G26="&lt;Completează&gt;",OR(C26="",C26="Nu este cazul")),"Completează o localitate",""),IF(AND(G26="Nu este cazul",C26&lt;&gt;"Nu este cazul"),"Completează &lt;Nu este cazul&gt;",""))</f>
        <v/>
      </c>
      <c r="G26" s="71" t="str">
        <f>CONCATENATE(IF(AND(OR($C$20="Avion+Tren",$C$20="Tren"),OR(C26="",C26="Nu este cazul")),"&lt;Completează&gt;",""),IF(OR('Participant 1'!$C$20="Avion",'Participant 1'!$C$20="Autoturism"),"Nu este cazul",""))</f>
        <v/>
      </c>
      <c r="H26" s="66"/>
    </row>
    <row r="27" spans="1:8" ht="14.25" customHeight="1">
      <c r="A27" s="60">
        <f>A26+1</f>
        <v>17</v>
      </c>
      <c r="B27" s="72" t="s">
        <v>266</v>
      </c>
      <c r="C27" s="136"/>
      <c r="D27" s="64" t="s">
        <v>258</v>
      </c>
      <c r="E27" s="64" t="s">
        <v>258</v>
      </c>
      <c r="F27" s="74" t="str">
        <f>CONCATENATE(IF(AND(G27="&lt;Completează&gt;",OR(C27="",C27="Nu este cazul")),"Completează o localitate",""),IF(AND(G27="Nu este cazul",C27&lt;&gt;"Nu este cazul"),"Completează &lt;Nu este cazul&gt;",""))</f>
        <v/>
      </c>
      <c r="G27" s="71" t="str">
        <f>CONCATENATE(IF(AND(OR($C$20="Avion+Tren",$C$20="Tren"),OR(C27="",C27="Nu este cazul")),"&lt;Completează&gt;",""),IF(OR('Participant 1'!$C$20="Avion",'Participant 1'!$C$20="Autoturism"),"Nu este cazul",""))</f>
        <v/>
      </c>
    </row>
    <row r="28" spans="1:8" ht="14.25" customHeight="1">
      <c r="A28" s="60">
        <f>A27+1</f>
        <v>18</v>
      </c>
      <c r="B28" s="153" t="s">
        <v>271</v>
      </c>
      <c r="C28" s="157"/>
      <c r="D28" s="140" t="s">
        <v>258</v>
      </c>
      <c r="E28" s="140" t="s">
        <v>258</v>
      </c>
      <c r="F28" s="74" t="str">
        <f>CONCATENATE(IF(AND(G28="&lt;Completează&gt;",OR(C28="",C28="Nu este cazul")),"Completează o localitate",""),IF(AND(G28="Nu este cazul",C28&lt;&gt;"Nu este cazul"),"Completează &lt;Nu este cazul&gt;",""))</f>
        <v/>
      </c>
      <c r="G28" s="71" t="str">
        <f>CONCATENATE(IF(AND(OR($C$20="Avion+Tren",$C$20="Tren"),OR(C28="",C28="Nu este cazul")),"&lt;Completează&gt;",""),IF(OR('Participant 1'!$C$20="Avion",'Participant 1'!$C$20="Autoturism"),"Nu este cazul",""))</f>
        <v/>
      </c>
    </row>
    <row r="29" spans="1:8" ht="14.45" customHeight="1">
      <c r="A29" s="202" t="s">
        <v>12</v>
      </c>
      <c r="B29" s="203"/>
      <c r="C29" s="203"/>
      <c r="D29" s="203"/>
      <c r="E29" s="204"/>
      <c r="F29" s="74"/>
      <c r="G29" s="33"/>
      <c r="H29" s="33"/>
    </row>
    <row r="30" spans="1:8" ht="15.75" customHeight="1">
      <c r="A30" s="60">
        <f>A28+1</f>
        <v>19</v>
      </c>
      <c r="B30" s="149" t="s">
        <v>267</v>
      </c>
      <c r="C30" s="155"/>
      <c r="D30" s="156" t="s">
        <v>258</v>
      </c>
      <c r="E30" s="156" t="s">
        <v>258</v>
      </c>
      <c r="F30" s="74" t="str">
        <f>CONCATENATE(IF(AND(G30="&lt;Completează&gt;",OR(C30="",C30="Nu este cazul")),"Completează o localitate",""),IF(AND(G30="Nu este cazul",C30&lt;&gt;"Nu este cazul"),"Completează &lt;Nu este cazul&gt;",""))</f>
        <v/>
      </c>
      <c r="G30" s="71" t="str">
        <f>CONCATENATE(IF(AND('Participant 1'!$C$20="Autoturism",OR(C30="",C30="Nu este cazul")),"&lt;Completează&gt;",""),IF(OR($C$20="Avion",$C$20="Avion+Tren",$C$20="Tren"),"Nu este cazul",""))</f>
        <v/>
      </c>
      <c r="H30" s="66"/>
    </row>
    <row r="31" spans="1:8" ht="18" customHeight="1">
      <c r="A31" s="60">
        <f>A30+1</f>
        <v>20</v>
      </c>
      <c r="B31" s="65" t="s">
        <v>268</v>
      </c>
      <c r="C31" s="136"/>
      <c r="D31" s="64" t="s">
        <v>258</v>
      </c>
      <c r="E31" s="64" t="s">
        <v>258</v>
      </c>
      <c r="F31" s="74" t="str">
        <f>CONCATENATE(IF(AND(G31="&lt;Completează&gt;",OR(C31="",C31="Nu este cazul")),"Completează o localitate",""),IF(AND(G31="Nu este cazul",C31&lt;&gt;"Nu este cazul"),"Completează &lt;Nu este cazul&gt;",""))</f>
        <v/>
      </c>
      <c r="G31" s="71" t="str">
        <f>CONCATENATE(IF(AND('Participant 1'!$C$20="Autoturism",OR(C31="",C31="Nu este cazul")),"&lt;Completează&gt;",""),IF(OR('Participant 1'!$C$20="Avion",'Participant 1'!$C$20="Tren"),"Nu este cazul",""))</f>
        <v/>
      </c>
      <c r="H31" s="66"/>
    </row>
    <row r="32" spans="1:8" ht="18" customHeight="1">
      <c r="A32" s="60">
        <f>A31+1</f>
        <v>21</v>
      </c>
      <c r="B32" s="65" t="s">
        <v>270</v>
      </c>
      <c r="C32" s="136"/>
      <c r="D32" s="64" t="s">
        <v>258</v>
      </c>
      <c r="E32" s="64" t="s">
        <v>258</v>
      </c>
      <c r="F32" s="74" t="str">
        <f>CONCATENATE(IF(AND(G32="&lt;Completează&gt;",OR(C32="",C32="Nu este cazul")),"Completează o localitate",""),IF(AND(G32="Nu este cazul",C32&lt;&gt;"Nu este cazul"),"Completează &lt;Nu este cazul&gt;",""))</f>
        <v/>
      </c>
      <c r="G32" s="71" t="str">
        <f>CONCATENATE(IF(AND('Participant 1'!$C$20="Autoturism",OR(C32="",C32="Nu este cazul")),"&lt;Completează&gt;",""),IF(OR('Participant 1'!$C$20="Avion",'Participant 1'!$C$20="Tren"),"Nu este cazul",""))</f>
        <v/>
      </c>
      <c r="H32" s="66"/>
    </row>
    <row r="33" spans="1:8" ht="15.75" customHeight="1">
      <c r="A33" s="60">
        <f>A32+1</f>
        <v>22</v>
      </c>
      <c r="B33" s="153" t="s">
        <v>269</v>
      </c>
      <c r="C33" s="157"/>
      <c r="D33" s="140" t="s">
        <v>258</v>
      </c>
      <c r="E33" s="140" t="s">
        <v>258</v>
      </c>
      <c r="F33" s="74" t="str">
        <f>CONCATENATE(IF(AND(G33="&lt;Completează&gt;",OR(C33="",C33="Nu este cazul")),"Completează o localitate",""),IF(AND(G33="Nu este cazul",C33&lt;&gt;"Nu este cazul"),"Completează &lt;Nu este cazul&gt;",""))</f>
        <v/>
      </c>
      <c r="G33" s="71" t="str">
        <f>CONCATENATE(IF(AND('Participant 1'!$C$20="Autoturism",OR(C33="",C33="Nu este cazul")),"&lt;Completează&gt;",""),IF(OR('Participant 1'!$C$20="Avion",'Participant 1'!$C$20="Tren"),"Nu este cazul",""))</f>
        <v/>
      </c>
      <c r="H33" s="66"/>
    </row>
    <row r="34" spans="1:8" ht="14.45" customHeight="1">
      <c r="A34" s="202" t="s">
        <v>328</v>
      </c>
      <c r="B34" s="203"/>
      <c r="C34" s="203"/>
      <c r="D34" s="203"/>
      <c r="E34" s="204"/>
      <c r="F34" s="74"/>
      <c r="G34" s="71"/>
      <c r="H34" s="63"/>
    </row>
    <row r="35" spans="1:8" ht="16.5" customHeight="1">
      <c r="A35" s="60">
        <f>A33+1</f>
        <v>23</v>
      </c>
      <c r="B35" s="159" t="s">
        <v>243</v>
      </c>
      <c r="C35" s="150"/>
      <c r="D35" s="156" t="s">
        <v>258</v>
      </c>
      <c r="E35" s="169" t="s">
        <v>258</v>
      </c>
      <c r="F35" s="74" t="str">
        <f>CONCATENATE(IF(AND(G35="&lt;Selectează&gt;",OR(C35="",C35="Nu este cazul")),"Selectează &lt;Da&gt; sau &lt;Nu&gt;",""),IF(AND(G35="Nu este cazul",C35&lt;&gt;"Nu este cazul"),"Selectează &lt;Nu este cazul&gt;",""))</f>
        <v/>
      </c>
      <c r="G35" s="71" t="str">
        <f>CONCATENATE(IF(AND(OR($C$20="Avion",$C$20="Avion+Tren"),OR(C35="",C35="Nu este cazul")),"&lt;Selectează&gt;",""),IF(OR($C$20="Tren",'Participant 1'!$C$20="Autoturism"),"Nu este cazul",""))</f>
        <v/>
      </c>
      <c r="H35" s="63"/>
    </row>
    <row r="36" spans="1:8" ht="15.75" customHeight="1">
      <c r="A36" s="60">
        <f t="shared" ref="A36:A42" si="1">A35+1</f>
        <v>24</v>
      </c>
      <c r="B36" s="75" t="s">
        <v>244</v>
      </c>
      <c r="C36" s="48"/>
      <c r="D36" s="81" t="str">
        <f>IF(C35="DA","x","-")</f>
        <v>-</v>
      </c>
      <c r="E36" s="32"/>
      <c r="F36" s="74" t="str">
        <f>CONCATENATE(IF(AND(G36="&lt;Introdu distanța&gt;",ISNUMBER(C36)&lt;&gt;TRUE),"&lt;Introdu distanța&gt;",""),IF(AND(G36="Nu este cazul",C36&lt;&gt;"Nu este cazul"),"Completează cu &lt;Nu este cazul&gt;",""),IF(AND(D36="x",E36="")," &lt;Selectează doc.justif.&gt;",""))</f>
        <v/>
      </c>
      <c r="G36" s="71" t="str">
        <f>CONCATENATE(IF(AND(OR($C$20="Avion",$C$20="Avion+Tren"),$C35="DA",ISNUMBER(C36)=FALSE),"&lt;Introdu distanța&gt;",""),IF(AND(OR($C$20="Avion",$C$20="Avion+Tren"),$C35="NU"),"Nu este cazul",""),IF(OR('Participant 1'!$C$20="Tren",'Participant 1'!$C$20="Autoturism"),"Nu este cazul",""))</f>
        <v/>
      </c>
      <c r="H36" s="63"/>
    </row>
    <row r="37" spans="1:8" ht="18.75" customHeight="1">
      <c r="A37" s="60">
        <f t="shared" si="1"/>
        <v>25</v>
      </c>
      <c r="B37" s="75" t="s">
        <v>287</v>
      </c>
      <c r="C37" s="48"/>
      <c r="D37" s="64" t="s">
        <v>258</v>
      </c>
      <c r="E37" s="62" t="s">
        <v>258</v>
      </c>
      <c r="F37" s="74" t="str">
        <f>CONCATENATE(IF(AND(G37="&lt;Selectează tip alimentare&gt;",OR(C37="",C37="Nu este cazul")),"&lt;Selectează tip alimentare&gt;",""),IF(AND(G37="Nu este cazul",C37&lt;&gt;"Nu este cazul"),"Selectează &lt;Nu este cazul&gt;",""))</f>
        <v/>
      </c>
      <c r="G37" s="71" t="str">
        <f>CONCATENATE(IF(AND(OR($C$20="Avion",$C$20="Avion+Tren"),$C35="DA"),"&lt;Selectează tip alimentare&gt;",""),IF(AND(OR($C$20="Avion",$C$20="Avion+Tren"),$C35="NU"),"Nu este cazul",""),IF(OR('Participant 1'!$C$20="Tren",'Participant 1'!$C$20="Autoturism"),"Nu este cazul",""))</f>
        <v/>
      </c>
      <c r="H37" s="63"/>
    </row>
    <row r="38" spans="1:8">
      <c r="A38" s="60">
        <f t="shared" si="1"/>
        <v>26</v>
      </c>
      <c r="B38" s="75" t="str">
        <f>CONCATENATE("Consum la 100 Km ",IF(C37="Energie electrică","(kWh/100 Km) - WLTP",""),IF(C37="Benzină/motorină","(7,5 litri/100 Km)",""))</f>
        <v xml:space="preserve">Consum la 100 Km </v>
      </c>
      <c r="C38" s="48"/>
      <c r="D38" s="81" t="str">
        <f>IF(OR($C$37="Energie electrică"),"x","-")</f>
        <v>-</v>
      </c>
      <c r="E38" s="32"/>
      <c r="F38" s="74" t="str">
        <f>CONCATENATE(IF(AND(G38="&lt;Introdu consum&gt;",ISNUMBER(C38)&lt;&gt;TRUE),"&lt;Introdu consum WLTP&gt;",""),IF(AND(G38="Nu este cazul",C38&lt;&gt;"Nu este cazul"),"Completează cu &lt;Nu este cazul&gt;",""),IF(AND(C37="Benzină/motorină",C38&lt;&gt;7.5),"7,5 litri/100Km",""),IF(AND(D38="x",E38="")," &lt;Selectează doc.justif.&gt;",""))</f>
        <v/>
      </c>
      <c r="G38" s="71" t="str">
        <f>CONCATENATE(IF(AND(OR($C$20="Avion",$C$20="Avion+Tren"),$C35="DA",OR($C$37="Energie electrică",$C$37="Benzină/motorină"),ISNUMBER(C38)=FALSE),"&lt;Introdu consum&gt;",""),IF(AND(OR($C$20="Avion",$C$20="Avion+Tren"),$C35="NU"),"Nu este cazul",""),IF(OR('Participant 1'!$C$20="Tren",'Participant 1'!$C$20="Autoturism"),"Nu este cazul",""))</f>
        <v/>
      </c>
      <c r="H38" s="63"/>
    </row>
    <row r="39" spans="1:8" ht="18.75" customHeight="1">
      <c r="A39" s="60">
        <f t="shared" si="1"/>
        <v>27</v>
      </c>
      <c r="B39" s="75" t="s">
        <v>292</v>
      </c>
      <c r="C39" s="135"/>
      <c r="D39" s="81" t="str">
        <f>IF(OR($C$37="Benzină/motorină",$C$37="Energie electrică"),"x","-")</f>
        <v>-</v>
      </c>
      <c r="E39" s="32"/>
      <c r="F39" s="74" t="str">
        <f>CONCATENATE(IF(AND(G39="&lt;Introdu valoare&gt;",ISNUMBER(C39)&lt;&gt;TRUE),"&lt;Introdu valoare&gt;",""),IF(AND(G39="Nu este cazul",C39&lt;&gt;"Nu este cazul"),"Completează cu &lt;Nu este cazul&gt;",""),IF(AND(C38="Benzină/motorină",C39&lt;&gt;7.5),"7,5 litri/100Km",""),IF(AND(D39="x",E39="")," &lt;Selectează doc.justif.&gt;",""))</f>
        <v/>
      </c>
      <c r="G39" s="71" t="str">
        <f>CONCATENATE(IF(AND(OR($C$20="Avion",$C$20="Avion+Tren"),$C35="DA",OR($C$37="Energie electrică",$C$37="Benzină/motorină"),ISNUMBER(C39)=FALSE),"&lt;Introdu valoare&gt;",""),IF(AND(OR($C$20="Avion",$C$20="Avion+Tren"),$C35="NU"),"Nu este cazul",""),IF(OR('Participant 1'!$C$20="Tren",'Participant 1'!$C$20="Autoturism"),"Nu este cazul",""))</f>
        <v/>
      </c>
      <c r="H39" s="63"/>
    </row>
    <row r="40" spans="1:8" ht="16.5" customHeight="1">
      <c r="A40" s="60">
        <f t="shared" si="1"/>
        <v>28</v>
      </c>
      <c r="B40" s="75" t="str">
        <f>CONCATENATE("Preț ",IF(C37="Energie electrică","pe kWh - lei",""),IF(C37="Benzină/motorină","pe litru - lei",""))</f>
        <v xml:space="preserve">Preț </v>
      </c>
      <c r="C40" s="48"/>
      <c r="D40" s="81" t="str">
        <f>IF(OR($C$37="Benzină/motorină",$C$37="Energie electrică"),"x","-")</f>
        <v>-</v>
      </c>
      <c r="E40" s="32"/>
      <c r="F40" s="74" t="str">
        <f>CONCATENATE(IF(AND(G40="&lt;Introdu preț&gt;",ISNUMBER(C40)&lt;&gt;TRUE),"&lt;Introdu preț&gt;",""),IF(AND(G40="Nu este cazul",C40&lt;&gt;"Nu este cazul"),"Completează cu &lt;Nu este cazul&gt;",""),IF(AND(C39="Benzină/motorină",C40&lt;&gt;7.5),"7,5 litri/100Km",""),IF(AND(D40="x",E40="")," &lt;Selectează doc.justif.&gt;",""))</f>
        <v/>
      </c>
      <c r="G40" s="71" t="str">
        <f>CONCATENATE(IF(AND(OR($C$20="Avion",$C$20="Avion+Tren"),$C35="DA",OR($C$37="Energie electrică",$C$37="Benzină/motorină"),ISNUMBER(C40)=FALSE),"&lt;Introdu preț&gt;",""),IF(AND(OR($C$20="Avion",$C$20="Avion+Tren"),$C35="NU"),"Nu este cazul",""),IF(OR('Participant 1'!$C$20="Tren",'Participant 1'!$C$20="Autoturism"),"Nu este cazul",""))</f>
        <v/>
      </c>
      <c r="H40" s="63"/>
    </row>
    <row r="41" spans="1:8" ht="30.75" customHeight="1">
      <c r="A41" s="60">
        <f t="shared" si="1"/>
        <v>29</v>
      </c>
      <c r="B41" s="73" t="s">
        <v>245</v>
      </c>
      <c r="C41" s="48"/>
      <c r="D41" s="81" t="str">
        <f>IF(OR($C$37="Benzină/motorină",$C$37="Energie electrică"),"x","-")</f>
        <v>-</v>
      </c>
      <c r="E41" s="62" t="s">
        <v>258</v>
      </c>
      <c r="F41" s="74" t="str">
        <f>CONCATENATE(IF(AND(G41="&lt;Selectează&gt;",OR(C41="",C41="Nu este cazul")),"Selectează &lt;Da&gt; sau &lt;Nu&gt;",""),IF(AND(G41="Nu este cazul",C41&lt;&gt;"Nu este cazul"),"Selectează &lt;Nu este cazul&gt;",""),IF(AND(D41="x",E41="")," &lt;Selectează doc.justif.&gt;",""))</f>
        <v/>
      </c>
      <c r="G41" s="71" t="str">
        <f>CONCATENATE(IF(AND(OR($C$20="Avion",$C$20="Avion+Tren"),OR(C41="",C41="Nu este cazul")),"&lt;Selectează&gt;",""),IF(OR($C$20="Tren",'Participant 1'!$C$20="Autoturism"),"Nu este cazul",""))</f>
        <v/>
      </c>
      <c r="H41" s="63"/>
    </row>
    <row r="42" spans="1:8">
      <c r="A42" s="60">
        <f t="shared" si="1"/>
        <v>30</v>
      </c>
      <c r="B42" s="73" t="s">
        <v>301</v>
      </c>
      <c r="C42" s="167"/>
      <c r="D42" s="145" t="str">
        <f>IF(OR($C$41="DA"),"x","-")</f>
        <v>-</v>
      </c>
      <c r="E42" s="158"/>
      <c r="F42" s="74" t="str">
        <f>CONCATENATE(IF(AND(G42="&lt;Introdu valoare&gt;",ISNUMBER(C42)&lt;&gt;TRUE),"&lt;Introdu valoare&gt;",""),IF(AND(G42="Nu este cazul",C42&lt;&gt;"Nu este cazul"),"Completează cu &lt;Nu este cazul&gt;",""),IF(AND(D42="x",E42="")," &lt;Selectează doc.justif.&gt;",""))</f>
        <v/>
      </c>
      <c r="G42" s="71" t="str">
        <f>CONCATENATE(IF(AND($C$41="DA",ISNUMBER(C42)=FALSE),"&lt;Introdu valoare&gt;",""),IF(C41="NU","Nu este cazul",""),IF(OR('Participant 1'!$C$20="Tren",'Participant 1'!$C$20="Autoturism"),"Nu este cazul",""))</f>
        <v/>
      </c>
      <c r="H42" s="63"/>
    </row>
    <row r="43" spans="1:8" ht="13.9" customHeight="1">
      <c r="A43" s="202" t="s">
        <v>274</v>
      </c>
      <c r="B43" s="203"/>
      <c r="C43" s="203"/>
      <c r="D43" s="203"/>
      <c r="E43" s="204"/>
      <c r="F43" s="74"/>
      <c r="G43" s="71"/>
      <c r="H43" s="63"/>
    </row>
    <row r="44" spans="1:8">
      <c r="A44" s="60">
        <f>A42+1</f>
        <v>31</v>
      </c>
      <c r="B44" s="159" t="s">
        <v>243</v>
      </c>
      <c r="C44" s="150"/>
      <c r="D44" s="156" t="s">
        <v>258</v>
      </c>
      <c r="E44" s="169" t="s">
        <v>258</v>
      </c>
      <c r="F44" s="74" t="str">
        <f>CONCATENATE(IF(AND(G44="&lt;Selectează&gt;",OR(C44="",C44="Nu este cazul")),"Selectează &lt;Da&gt; sau &lt;Nu&gt;",""),IF(AND(G44="Nu este cazul",C44&lt;&gt;"Nu este cazul"),"Selectează &lt;Nu este cazul&gt;",""))</f>
        <v/>
      </c>
      <c r="G44" s="71" t="str">
        <f>CONCATENATE(IF(AND(OR($C$20="Avion",$C$20="Avion+Tren"),OR(C44="",C44="Nu este cazul")),"&lt;Selectează&gt;",""),IF(OR($C$20="Tren",'Participant 1'!$C$20="Autoturism"),"Nu este cazul",""))</f>
        <v/>
      </c>
      <c r="H44" s="63"/>
    </row>
    <row r="45" spans="1:8">
      <c r="A45" s="60">
        <f t="shared" ref="A45:A51" si="2">A44+1</f>
        <v>32</v>
      </c>
      <c r="B45" s="61" t="s">
        <v>244</v>
      </c>
      <c r="C45" s="48"/>
      <c r="D45" s="81" t="str">
        <f>IF(C45&lt;&gt;0,"x","-")</f>
        <v>-</v>
      </c>
      <c r="E45" s="32"/>
      <c r="F45" s="74" t="str">
        <f>CONCATENATE(IF(AND(G45="&lt;Introdu distanța&gt;",ISNUMBER(C45)&lt;&gt;TRUE),"&lt;Introdu distanța&gt;",""),IF(AND(G45="Nu este cazul",C45&lt;&gt;"Nu este cazul"),"Completează cu &lt;Nu este cazul&gt;",""),IF(AND(D45="x",E45="")," &lt;Selectează doc.justif.&gt;",""))</f>
        <v/>
      </c>
      <c r="G45" s="71" t="str">
        <f>CONCATENATE(IF(AND(OR($C$20="Avion",$C$20="Avion+Tren"),$C44="DA",ISNUMBER(C45)=FALSE),"&lt;Introdu distanța&gt;",""),IF(AND(OR($C$20="Avion",$C$20="Avion+Tren"),$C44="NU"),"Nu este cazul",""),IF(OR('Participant 1'!$C$20="Tren",'Participant 1'!$C$20="Autoturism"),"Nu este cazul",""))</f>
        <v/>
      </c>
      <c r="H45" s="63"/>
    </row>
    <row r="46" spans="1:8" ht="36" customHeight="1">
      <c r="A46" s="60">
        <f t="shared" si="2"/>
        <v>33</v>
      </c>
      <c r="B46" s="75" t="s">
        <v>287</v>
      </c>
      <c r="C46" s="48"/>
      <c r="D46" s="64" t="s">
        <v>258</v>
      </c>
      <c r="E46" s="62" t="s">
        <v>258</v>
      </c>
      <c r="F46" s="74" t="str">
        <f>CONCATENATE(IF(AND(G46="&lt;Selectează tip alimentare&gt;",OR(C46="",C46="Nu este cazul")),"&lt;Selectează tip alimentare&gt;",""),IF(AND(G46="Nu este cazul",C46&lt;&gt;"Nu este cazul"),"Selectează &lt;Nu este cazul&gt;",""))</f>
        <v/>
      </c>
      <c r="G46" s="71" t="str">
        <f>CONCATENATE(IF(AND(OR($C$20="Avion",$C$20="Avion+Tren"),$C44="DA"),"&lt;Selectează tip alimentare&gt;",""),IF(AND(OR($C$20="Avion",$C$20="Avion+Tren"),$C44="NU"),"Nu este cazul",""),IF(OR('Participant 1'!$C$20="Tren",'Participant 1'!$C$20="Autoturism"),"Nu este cazul",""))</f>
        <v/>
      </c>
      <c r="H46" s="63"/>
    </row>
    <row r="47" spans="1:8">
      <c r="A47" s="60">
        <f t="shared" si="2"/>
        <v>34</v>
      </c>
      <c r="B47" s="75" t="str">
        <f>CONCATENATE("Consum la 100 Km ",IF(C46="Energie electrică","(kWh/100 Km) - WLTP",""),IF(C46="Benzină/motorină","(7,5 litri/100 Km)",""))</f>
        <v xml:space="preserve">Consum la 100 Km </v>
      </c>
      <c r="C47" s="48"/>
      <c r="D47" s="81" t="str">
        <f>IF(OR($C$46="Energie electrică"),"x","-")</f>
        <v>-</v>
      </c>
      <c r="E47" s="32"/>
      <c r="F47" s="74" t="str">
        <f>CONCATENATE(IF(AND(G47="&lt;Introdu consum&gt;",ISNUMBER(C47)&lt;&gt;TRUE),"&lt;Introdu consum WLTP&gt;",""),IF(AND(G47="Nu este cazul",C47&lt;&gt;"Nu este cazul"),"Completează cu &lt;Nu este cazul&gt;",""),IF(AND(C46="Benzină/motorină",C47&lt;&gt;7.5),"7,5 litri/100Km",""),IF(AND(D47="x",E47="")," &lt;Selectează doc.justif.&gt;",""))</f>
        <v/>
      </c>
      <c r="G47" s="71" t="str">
        <f>CONCATENATE(IF(AND(OR($C$20="Avion",$C$20="Avion+Tren"),$C44="DA",OR($C$37="Energie electrică",$C$37="Benzină/motorină"),ISNUMBER(C47)=FALSE),"&lt;Introdu consum&gt;",""),IF(AND(OR($C$20="Avion",$C$20="Avion+Tren"),$C44="NU"),"Nu este cazul",""),IF(OR('Participant 1'!$C$20="Tren",'Participant 1'!$C$20="Autoturism"),"Nu este cazul",""))</f>
        <v/>
      </c>
      <c r="H47" s="63"/>
    </row>
    <row r="48" spans="1:8">
      <c r="A48" s="60">
        <f t="shared" si="2"/>
        <v>35</v>
      </c>
      <c r="B48" s="75" t="s">
        <v>292</v>
      </c>
      <c r="C48" s="135"/>
      <c r="D48" s="81" t="str">
        <f>IF(OR($C$46="Benzină/motorină",$C$46="Energie electrică"),"x","-")</f>
        <v>-</v>
      </c>
      <c r="E48" s="32"/>
      <c r="F48" s="74" t="str">
        <f>CONCATENATE(IF(AND(G48="&lt;Introdu valoare&gt;",ISNUMBER(C48)&lt;&gt;TRUE),"&lt;Introdu valoare&gt;",""),IF(AND(G48="Nu este cazul",C48&lt;&gt;"Nu este cazul"),"Completează cu &lt;Nu este cazul&gt;",""),IF(AND(C47="Benzină/motorină",C48&lt;&gt;7.5),"7,5 litri/100Km",""),IF(AND(D48="x",E48="")," &lt;Selectează doc.justif.&gt;",""))</f>
        <v/>
      </c>
      <c r="G48" s="71" t="str">
        <f>CONCATENATE(IF(AND(OR($C$20="Avion",$C$20="Avion+Tren"),$C44="DA",OR($C$37="Energie electrică",$C$37="Benzină/motorină"),ISNUMBER(C48)=FALSE),"&lt;Introdu valoare&gt;",""),IF(AND(OR($C$20="Avion",$C$20="Avion+Tren"),$C44="NU"),"Nu este cazul",""),IF(OR('Participant 1'!$C$20="Tren",'Participant 1'!$C$20="Autoturism"),"Nu este cazul",""))</f>
        <v/>
      </c>
      <c r="H48" s="63"/>
    </row>
    <row r="49" spans="1:13">
      <c r="A49" s="60">
        <f t="shared" si="2"/>
        <v>36</v>
      </c>
      <c r="B49" s="75" t="str">
        <f>CONCATENATE("Preț ",IF(C46="Energie electrică","pe kWh - lei",""),IF(C46="Benzină/motorină","pe litru - lei",""))</f>
        <v xml:space="preserve">Preț </v>
      </c>
      <c r="C49" s="135"/>
      <c r="D49" s="81" t="str">
        <f>IF(OR($C$46="Benzină/motorină",$C$46="Energie electrică"),"x","-")</f>
        <v>-</v>
      </c>
      <c r="E49" s="32"/>
      <c r="F49" s="74" t="str">
        <f>CONCATENATE(IF(AND(G49="&lt;Introdu preț&gt;",ISNUMBER(C49)&lt;&gt;TRUE),"&lt;Introdu preț&gt;",""),IF(AND(G49="Nu este cazul",C49&lt;&gt;"Nu este cazul"),"Completează cu &lt;Nu este cazul&gt;",""),IF(AND(C48="Benzină/motorină",C49&lt;&gt;7.5),"7,5 litri/100Km",""),IF(AND(D49="x",E49="")," &lt;Selectează doc.justif.&gt;",""))</f>
        <v/>
      </c>
      <c r="G49" s="71" t="str">
        <f>CONCATENATE(IF(AND(OR($C$20="Avion",$C$20="Avion+Tren"),$C44="DA",OR($C$37="Energie electrică",$C$37="Benzină/motorină"),ISNUMBER(C49)=FALSE),"&lt;Introdu preț&gt;",""),IF(AND(OR($C$20="Avion",$C$20="Avion+Tren"),$C44="NU"),"Nu este cazul",""),IF(OR('Participant 1'!$C$20="Tren",'Participant 1'!$C$20="Autoturism"),"Nu este cazul",""))</f>
        <v/>
      </c>
      <c r="H49" s="63"/>
    </row>
    <row r="50" spans="1:13" ht="28.5">
      <c r="A50" s="60">
        <f t="shared" si="2"/>
        <v>37</v>
      </c>
      <c r="B50" s="73" t="s">
        <v>245</v>
      </c>
      <c r="C50" s="48"/>
      <c r="D50" s="81" t="str">
        <f>IF(OR($C$37="Benzină/motorină",$C$37="Energie electrică"),"x","-")</f>
        <v>-</v>
      </c>
      <c r="E50" s="62" t="s">
        <v>258</v>
      </c>
      <c r="F50" s="74" t="str">
        <f>CONCATENATE(IF(AND(G50="&lt;Selectează&gt;",OR(C50="",C50="Nu este cazul")),"Selectează &lt;Da&gt; sau &lt;Nu&gt;",""),IF(AND(G50="Nu este cazul",C50&lt;&gt;"Nu este cazul"),"Selectează &lt;Nu este cazul&gt;",""),IF(AND(D50="x",E50="")," &lt;Selectează doc.justif.&gt;",""))</f>
        <v/>
      </c>
      <c r="G50" s="71" t="str">
        <f>CONCATENATE(IF(AND(OR($C$20="Avion",$C$20="Avion+Tren"),OR(C50="",C50="Nu este cazul")),"&lt;Selectează&gt;",""),IF(OR($C$20="Tren",'Participant 1'!$C$20="Autoturism"),"Nu este cazul",""))</f>
        <v/>
      </c>
      <c r="H50" s="63"/>
    </row>
    <row r="51" spans="1:13">
      <c r="A51" s="60">
        <f t="shared" si="2"/>
        <v>38</v>
      </c>
      <c r="B51" s="73" t="s">
        <v>301</v>
      </c>
      <c r="C51" s="168"/>
      <c r="D51" s="81" t="str">
        <f>IF(OR($C$50="DA"),"x","-")</f>
        <v>-</v>
      </c>
      <c r="E51" s="137"/>
      <c r="F51" s="74" t="str">
        <f>CONCATENATE(IF(AND(G51="&lt;Introdu valoare&gt;",ISNUMBER(C51)&lt;&gt;TRUE),"&lt;Introdu valoare&gt;",""),IF(AND(G51="Nu este cazul",C51&lt;&gt;"Nu este cazul"),"Completează cu &lt;Nu este cazul&gt;",""),IF(AND(D51="x",E51="")," &lt;Selectează doc.justif.&gt;",""))</f>
        <v/>
      </c>
      <c r="G51" s="71" t="str">
        <f>CONCATENATE(IF(AND($C$50="DA",ISNUMBER(C51)=FALSE),"&lt;Introdu valoare&gt;",""),IF(C50="NU","Nu este cazul",""),IF(OR('Participant 1'!$C$20="Tren",'Participant 1'!$C$20="Autoturism"),"Nu este cazul",""))</f>
        <v/>
      </c>
      <c r="H51" s="80"/>
    </row>
    <row r="52" spans="1:13" ht="15">
      <c r="A52" s="205" t="s">
        <v>312</v>
      </c>
      <c r="B52" s="206"/>
      <c r="C52" s="76" t="str">
        <f>CONCATENATE("Valoare - ",Calcule!C5)</f>
        <v>Valoare - Nu este cazul</v>
      </c>
      <c r="D52" s="205"/>
      <c r="E52" s="206"/>
      <c r="F52" s="84"/>
    </row>
    <row r="53" spans="1:13">
      <c r="A53" s="60">
        <f>A51+1</f>
        <v>39</v>
      </c>
      <c r="B53" s="67" t="s">
        <v>273</v>
      </c>
      <c r="C53" s="162"/>
      <c r="D53" s="81" t="str">
        <f>IF(C53&lt;&gt;0,"x","")</f>
        <v/>
      </c>
      <c r="E53" s="97"/>
      <c r="F53" s="74" t="str">
        <f>IF(AND(D53="x",E53="")," &lt;Selectează doc.justif.&gt;","")</f>
        <v/>
      </c>
    </row>
    <row r="54" spans="1:13">
      <c r="A54" s="60">
        <f t="shared" ref="A54:A58" si="3">A53+1</f>
        <v>40</v>
      </c>
      <c r="B54" s="67" t="s">
        <v>252</v>
      </c>
      <c r="C54" s="162"/>
      <c r="D54" s="81" t="str">
        <f>IF(C54&lt;&gt;0,"x","")</f>
        <v/>
      </c>
      <c r="E54" s="97"/>
      <c r="F54" s="74" t="str">
        <f>CONCATENATE(Calcule!D22," ",IF(AND(D54="x",E54="")," &lt;Selectează doc.justif.&gt;",""))</f>
        <v xml:space="preserve"> </v>
      </c>
    </row>
    <row r="55" spans="1:13">
      <c r="A55" s="60">
        <f t="shared" si="3"/>
        <v>41</v>
      </c>
      <c r="B55" s="67" t="s">
        <v>32</v>
      </c>
      <c r="C55" s="162"/>
      <c r="D55" s="81" t="str">
        <f>IF(C55&lt;&gt;0,"x","")</f>
        <v/>
      </c>
      <c r="E55" s="97"/>
      <c r="F55" s="74" t="str">
        <f>CONCATENATE(Calcule!D25," ",IF(AND(D55="x",E55="")," &lt;Selectează doc.justif.&gt;",""))</f>
        <v xml:space="preserve"> </v>
      </c>
    </row>
    <row r="56" spans="1:13" s="33" customFormat="1" ht="42.75">
      <c r="A56" s="60">
        <f t="shared" si="3"/>
        <v>42</v>
      </c>
      <c r="B56" s="65" t="s">
        <v>304</v>
      </c>
      <c r="C56" s="162"/>
      <c r="D56" s="81" t="str">
        <f>IF(C56&lt;&gt;0,"x","")</f>
        <v/>
      </c>
      <c r="E56" s="97"/>
      <c r="F56" s="74" t="str">
        <f>IF(AND(D56="x",E56="")," &lt;Selectează doc.justif.&gt;","")</f>
        <v/>
      </c>
      <c r="H56" s="31"/>
      <c r="I56" s="31"/>
      <c r="J56" s="31"/>
      <c r="K56" s="31"/>
      <c r="L56" s="31"/>
      <c r="M56" s="31"/>
    </row>
    <row r="57" spans="1:13" s="33" customFormat="1" ht="30">
      <c r="A57" s="60">
        <f t="shared" si="3"/>
        <v>43</v>
      </c>
      <c r="B57" s="98" t="str">
        <f>CONCATENATE("TOTAL [ (39) + ... + (43) ] - ",Calcule!C5)</f>
        <v>TOTAL [ (39) + ... + (43) ] - Nu este cazul</v>
      </c>
      <c r="C57" s="163">
        <f>SUM(C53:C56)</f>
        <v>0</v>
      </c>
      <c r="D57" s="64" t="s">
        <v>258</v>
      </c>
      <c r="E57" s="62" t="s">
        <v>258</v>
      </c>
      <c r="F57" s="85"/>
      <c r="H57" s="31"/>
      <c r="I57" s="31"/>
      <c r="J57" s="31"/>
      <c r="K57" s="31"/>
      <c r="L57" s="31"/>
      <c r="M57" s="31"/>
    </row>
    <row r="58" spans="1:13" s="33" customFormat="1" ht="30">
      <c r="A58" s="60">
        <f t="shared" si="3"/>
        <v>44</v>
      </c>
      <c r="B58" s="160" t="s">
        <v>317</v>
      </c>
      <c r="C58" s="77">
        <f>C57*C11</f>
        <v>0</v>
      </c>
      <c r="D58" s="64" t="s">
        <v>258</v>
      </c>
      <c r="E58" s="62" t="s">
        <v>258</v>
      </c>
      <c r="F58" s="85"/>
      <c r="H58" s="31"/>
      <c r="I58" s="31"/>
      <c r="J58" s="31"/>
      <c r="K58" s="31"/>
      <c r="L58" s="31"/>
      <c r="M58" s="31"/>
    </row>
    <row r="59" spans="1:13" ht="14.45" customHeight="1">
      <c r="A59" s="205" t="s">
        <v>313</v>
      </c>
      <c r="B59" s="206"/>
      <c r="C59" s="76" t="s">
        <v>255</v>
      </c>
      <c r="D59" s="205"/>
      <c r="E59" s="206"/>
      <c r="F59" s="84"/>
      <c r="M59" s="33"/>
    </row>
    <row r="60" spans="1:13" ht="28.5">
      <c r="A60" s="60">
        <f>A58+1</f>
        <v>45</v>
      </c>
      <c r="B60" s="67" t="s">
        <v>253</v>
      </c>
      <c r="C60" s="164"/>
      <c r="D60" s="81" t="str">
        <f>IF(C60&lt;&gt;0,"x","")</f>
        <v/>
      </c>
      <c r="E60" s="97"/>
      <c r="F60" s="74" t="str">
        <f>CONCATENATE(Calcule!D33," ",IF(AND(D60="x",E60="")," &lt;Selectează doc.justif.&gt;",""))</f>
        <v xml:space="preserve"> </v>
      </c>
    </row>
    <row r="61" spans="1:13">
      <c r="A61" s="60">
        <f t="shared" ref="A61:A66" si="4">A60+1</f>
        <v>46</v>
      </c>
      <c r="B61" s="67" t="s">
        <v>254</v>
      </c>
      <c r="C61" s="164"/>
      <c r="D61" s="81" t="str">
        <f>IF(C61&lt;&gt;0,"x","")</f>
        <v/>
      </c>
      <c r="E61" s="97"/>
      <c r="F61" s="74" t="str">
        <f>CONCATENATE(Calcule!D36," ",IF(AND(D61="x",E61="")," &lt;Selectează doc.justif.&gt;",""))</f>
        <v xml:space="preserve"> </v>
      </c>
    </row>
    <row r="62" spans="1:13" ht="57">
      <c r="A62" s="60">
        <f t="shared" si="4"/>
        <v>47</v>
      </c>
      <c r="B62" s="67" t="s">
        <v>275</v>
      </c>
      <c r="C62" s="165">
        <f>SUM(C63:C65)</f>
        <v>0</v>
      </c>
      <c r="D62" s="81" t="str">
        <f>IF(C62&lt;&gt;0,"x","")</f>
        <v/>
      </c>
      <c r="E62" s="97"/>
      <c r="F62" s="74" t="str">
        <f>IF(AND(D62="x",E62="")," &lt;Selectează doc.justif.&gt;","")</f>
        <v/>
      </c>
    </row>
    <row r="63" spans="1:13" ht="42.75">
      <c r="A63" s="60">
        <f>A62+1</f>
        <v>48</v>
      </c>
      <c r="B63" s="67" t="s">
        <v>333</v>
      </c>
      <c r="C63" s="165">
        <f>IF(AND($C$35="DA",$C$37="Benzină/motorină"),MIN($C$38*$C$36/100*$C$40,$C$39),0)+IF(AND($C$44="DA",$C$46="Benzină/motorină"),MIN($C$47*$C$45/100*$C$49,$C$48),0)</f>
        <v>0</v>
      </c>
      <c r="D63" s="81" t="str">
        <f>IF(C63&lt;&gt;0,"x","-")</f>
        <v>-</v>
      </c>
      <c r="E63" s="97"/>
      <c r="F63" s="74" t="str">
        <f>CONCATENATE(IF(AND(ISNUMBER(C63),C63&lt;&gt;0,AND(C35&lt;&gt;"DA",C44&lt;&gt;"DA")),"Vezi (23) și (26) sau completează cu 0.00",""),IF(AND(D63="x",E63="")," &lt;Selectează doc.justif.&gt;",""))</f>
        <v/>
      </c>
    </row>
    <row r="64" spans="1:13" ht="28.5">
      <c r="A64" s="60">
        <f t="shared" si="4"/>
        <v>49</v>
      </c>
      <c r="B64" s="67" t="s">
        <v>334</v>
      </c>
      <c r="C64" s="165">
        <f>IF(AND($C$35="DA",$C$37="Energie electrică"),MIN($C$38*$C$36/100*$C$40,$C$39),0)+IF(AND($C$44="DA",$C$46="Energie electrică"),MIN($C$47*$C$45/100*$C$49,$C$48),0)</f>
        <v>0</v>
      </c>
      <c r="D64" s="81" t="str">
        <f>IF(C64&lt;&gt;0,"x","-")</f>
        <v>-</v>
      </c>
      <c r="E64" s="97"/>
      <c r="F64" s="74" t="str">
        <f>CONCATENATE(IF(AND(ISNUMBER(C63),C63&lt;&gt;0,AND(C35&lt;&gt;"DA",C44&lt;&gt;"DA")),"Vezi (23) și (26) sau completează cu 0.00","")," ",IF(AND(D64="x",E64="")," &lt;Selectează doc.justif.&gt;",""))</f>
        <v xml:space="preserve"> </v>
      </c>
    </row>
    <row r="65" spans="1:6" ht="28.5">
      <c r="A65" s="60">
        <f t="shared" si="4"/>
        <v>50</v>
      </c>
      <c r="B65" s="67" t="s">
        <v>332</v>
      </c>
      <c r="C65" s="166">
        <f>IF(ISNUMBER(C42),C42,0)+IF(ISNUMBER(C51),C51,0)</f>
        <v>0</v>
      </c>
      <c r="D65" s="81" t="str">
        <f>IF(C65&lt;&gt;0,"x","")</f>
        <v/>
      </c>
      <c r="E65" s="61" t="str">
        <f>CONCATENATE(E42," ",E51)</f>
        <v xml:space="preserve"> </v>
      </c>
      <c r="F65" s="74" t="str">
        <f>CONCATENATE(IF(AND(ISNUMBER(C65),C65&lt;&gt;0,AND(C41&lt;&gt;"DA",C50&lt;&gt;"DA")),"Modifică (29) și (36) sau completează cu 0.00","")," ",IF(AND(D65="x",E65="")," &lt;Selectează doc.justif.&gt;",""))</f>
        <v xml:space="preserve"> </v>
      </c>
    </row>
    <row r="66" spans="1:6" ht="15">
      <c r="A66" s="60">
        <f t="shared" si="4"/>
        <v>51</v>
      </c>
      <c r="B66" s="98" t="s">
        <v>318</v>
      </c>
      <c r="C66" s="77">
        <f>SUM(C60:C62)</f>
        <v>0</v>
      </c>
      <c r="D66" s="64" t="s">
        <v>258</v>
      </c>
      <c r="E66" s="64" t="s">
        <v>258</v>
      </c>
      <c r="F66" s="84"/>
    </row>
    <row r="67" spans="1:6" ht="21" customHeight="1">
      <c r="A67" s="60">
        <f>A66+1</f>
        <v>52</v>
      </c>
      <c r="B67" s="95" t="s">
        <v>331</v>
      </c>
      <c r="C67" s="78">
        <f>ROUND(C58+C66,2)</f>
        <v>0</v>
      </c>
      <c r="D67" s="64" t="s">
        <v>258</v>
      </c>
      <c r="E67" s="64" t="s">
        <v>258</v>
      </c>
      <c r="F67" s="84"/>
    </row>
    <row r="68" spans="1:6" ht="15">
      <c r="B68" s="96"/>
      <c r="C68" s="79"/>
      <c r="D68" s="79"/>
      <c r="E68" s="80"/>
    </row>
    <row r="69" spans="1:6" ht="28.5">
      <c r="B69" s="71" t="s">
        <v>357</v>
      </c>
    </row>
    <row r="70" spans="1:6">
      <c r="B70" s="97" t="s">
        <v>383</v>
      </c>
    </row>
    <row r="71" spans="1:6">
      <c r="B71" s="109" t="s">
        <v>385</v>
      </c>
    </row>
    <row r="72" spans="1:6">
      <c r="B72" s="170" t="s">
        <v>374</v>
      </c>
    </row>
    <row r="73" spans="1:6">
      <c r="B73" s="170" t="s">
        <v>384</v>
      </c>
    </row>
    <row r="74" spans="1:6">
      <c r="B74" s="170" t="s">
        <v>376</v>
      </c>
    </row>
    <row r="75" spans="1:6">
      <c r="B75" s="109" t="s">
        <v>359</v>
      </c>
    </row>
    <row r="76" spans="1:6">
      <c r="B76" s="97" t="s">
        <v>358</v>
      </c>
    </row>
    <row r="77" spans="1:6">
      <c r="B77" s="97"/>
    </row>
    <row r="78" spans="1:6">
      <c r="B78" s="109"/>
    </row>
    <row r="79" spans="1:6">
      <c r="B79" s="97"/>
    </row>
    <row r="80" spans="1:6">
      <c r="B80" s="97"/>
    </row>
    <row r="81" spans="2:5">
      <c r="B81" s="97"/>
    </row>
    <row r="82" spans="2:5">
      <c r="B82" s="97"/>
    </row>
    <row r="83" spans="2:5">
      <c r="B83" s="97"/>
    </row>
    <row r="84" spans="2:5">
      <c r="B84" s="97"/>
    </row>
    <row r="85" spans="2:5">
      <c r="E85" s="31" t="str">
        <f>IF(NOT(F4=""),"*","")</f>
        <v>*</v>
      </c>
    </row>
    <row r="86" spans="2:5" ht="18" customHeight="1">
      <c r="B86" s="128" t="s">
        <v>325</v>
      </c>
      <c r="C86" s="86"/>
      <c r="D86" s="86"/>
    </row>
    <row r="87" spans="2:5" ht="18" customHeight="1">
      <c r="B87" s="45" t="str">
        <f>CONCATENATE('Date generale'!B8,",")</f>
        <v>Reprezentant legal/împuternicit,</v>
      </c>
      <c r="C87" s="8"/>
      <c r="D87" s="118" t="s">
        <v>324</v>
      </c>
    </row>
    <row r="88" spans="2:5" ht="15" customHeight="1">
      <c r="B88" s="45" t="str">
        <f>CONCATENATE("",'Date generale'!C8)</f>
        <v/>
      </c>
      <c r="D88" s="207" t="str">
        <f>CONCATENATE("",C6)</f>
        <v/>
      </c>
      <c r="E88" s="207"/>
    </row>
    <row r="89" spans="2:5" ht="14.25" customHeight="1">
      <c r="D89" s="45"/>
      <c r="E89" s="45"/>
    </row>
  </sheetData>
  <sheetProtection algorithmName="SHA-512" hashValue="AoPpMoZa5ZU7dstyynZS9JRfuQDKb9gMJfZryq60Wm2S7pQQvkYdskkrnXuwY7enkG1VFkyP/DaPGZXzij/LPg==" saltValue="6MoxKN9zgt5EtnY9GaqTnw==" spinCount="100000" sheet="1" selectLockedCells="1"/>
  <mergeCells count="14">
    <mergeCell ref="D88:E88"/>
    <mergeCell ref="A59:B59"/>
    <mergeCell ref="D59:E59"/>
    <mergeCell ref="A4:E4"/>
    <mergeCell ref="A12:E12"/>
    <mergeCell ref="A15:E15"/>
    <mergeCell ref="A19:C19"/>
    <mergeCell ref="A21:C21"/>
    <mergeCell ref="A24:E24"/>
    <mergeCell ref="A29:E29"/>
    <mergeCell ref="A34:E34"/>
    <mergeCell ref="A43:E43"/>
    <mergeCell ref="A52:B52"/>
    <mergeCell ref="D52:E52"/>
  </mergeCells>
  <conditionalFormatting sqref="C13:C14">
    <cfRule type="cellIs" dxfId="15" priority="2" operator="lessThan">
      <formula>$C$13</formula>
    </cfRule>
  </conditionalFormatting>
  <conditionalFormatting sqref="C16:C17">
    <cfRule type="cellIs" dxfId="14" priority="1" operator="lessThan">
      <formula>$C$13</formula>
    </cfRule>
  </conditionalFormatting>
  <conditionalFormatting sqref="F19:F51">
    <cfRule type="containsText" dxfId="13" priority="6" operator="containsText" text="Nu este cazul">
      <formula>NOT(ISERROR(SEARCH("Nu este cazul",F19)))</formula>
    </cfRule>
  </conditionalFormatting>
  <conditionalFormatting sqref="G20">
    <cfRule type="containsText" dxfId="9" priority="25" operator="containsText" text="Nu este cazul">
      <formula>NOT(ISERROR(SEARCH("Nu este cazul",G20)))</formula>
    </cfRule>
  </conditionalFormatting>
  <conditionalFormatting sqref="G41 G43:G46 G50 G35:G37">
    <cfRule type="expression" dxfId="6" priority="19">
      <formula>"1=1"</formula>
    </cfRule>
  </conditionalFormatting>
  <dataValidations count="2">
    <dataValidation type="decimal" operator="greaterThanOrEqual" allowBlank="1" showInputMessage="1" showErrorMessage="1" sqref="C60:C64 C53:C56" xr:uid="{9680FA69-EE50-4AC0-9EDF-7998A1DB45E7}">
      <formula1>0</formula1>
    </dataValidation>
    <dataValidation type="list" allowBlank="1" showInputMessage="1" showErrorMessage="1" sqref="E42 E60:E64 E38:E40 E45 E13:E14 E16:E18 E51 E47:E49 E36 E53:E56" xr:uid="{074ABC21-0799-478C-9356-969D888F8E51}">
      <formula1>$B$70:$B$84</formula1>
    </dataValidation>
  </dataValidations>
  <pageMargins left="0.70866141732283472" right="0.70866141732283472" top="0.74803149606299213" bottom="0.74803149606299213" header="0.31496062992125984" footer="0.31496062992125984"/>
  <pageSetup paperSize="9" scale="75" orientation="portrait" horizontalDpi="1200" r:id="rId1"/>
  <headerFooter>
    <oddFooter>&amp;L&amp;F&amp;A&amp;R&amp;P/&amp;N</oddFooter>
  </headerFooter>
  <legacyDrawing r:id="rId2"/>
  <extLst>
    <ext xmlns:x14="http://schemas.microsoft.com/office/spreadsheetml/2009/9/main" uri="{78C0D931-6437-407d-A8EE-F0AAD7539E65}">
      <x14:conditionalFormattings>
        <x14:conditionalFormatting xmlns:xm="http://schemas.microsoft.com/office/excel/2006/main">
          <x14:cfRule type="containsText" priority="23" operator="containsText" id="{A7540E70-9E68-4FD3-830B-8A2ADF67926F}">
            <xm:f>NOT(ISERROR(SEARCH($B$79,G19)))</xm:f>
            <xm:f>$B$79</xm:f>
            <x14:dxf>
              <font>
                <color rgb="FF9C5700"/>
              </font>
              <fill>
                <patternFill>
                  <bgColor rgb="FFFFEB9C"/>
                </patternFill>
              </fill>
            </x14:dxf>
          </x14:cfRule>
          <x14:cfRule type="containsText" priority="24" operator="containsText" id="{A55A9777-3DDE-4288-B1B6-0F7AF2F8FEA2}">
            <xm:f>NOT(ISERROR(SEARCH(Liste!$C$214,G19)))</xm:f>
            <xm:f>Liste!$C$214</xm:f>
            <x14:dxf>
              <font>
                <color rgb="FF9C5700"/>
              </font>
              <fill>
                <patternFill>
                  <bgColor rgb="FFFFEB9C"/>
                </patternFill>
              </fill>
            </x14:dxf>
          </x14:cfRule>
          <x14:cfRule type="containsText" priority="26" operator="containsText" id="{FFCD1132-BED3-4420-A211-1CC55F7F70B8}">
            <xm:f>NOT(ISERROR(SEARCH($B$80,G19)))</xm:f>
            <xm:f>$B$80</xm:f>
            <x14:dxf>
              <font>
                <color rgb="FF9C5700"/>
              </font>
              <fill>
                <patternFill>
                  <bgColor rgb="FFFFEB9C"/>
                </patternFill>
              </fill>
            </x14:dxf>
          </x14:cfRule>
          <xm:sqref>G19</xm:sqref>
        </x14:conditionalFormatting>
        <x14:conditionalFormatting xmlns:xm="http://schemas.microsoft.com/office/excel/2006/main">
          <x14:cfRule type="containsText" priority="20" operator="containsText" id="{CDCCE336-AE73-4AA3-8E60-FD98CFC8975F}">
            <xm:f>NOT(ISERROR(SEARCH(Liste!$C$214,G22)))</xm:f>
            <xm:f>Liste!$C$214</xm:f>
            <x14:dxf>
              <font>
                <color rgb="FF9C5700"/>
              </font>
              <fill>
                <patternFill>
                  <bgColor rgb="FFFFEB9C"/>
                </patternFill>
              </fill>
            </x14:dxf>
          </x14:cfRule>
          <xm:sqref>G22:G35</xm:sqref>
        </x14:conditionalFormatting>
        <x14:conditionalFormatting xmlns:xm="http://schemas.microsoft.com/office/excel/2006/main">
          <x14:cfRule type="containsText" priority="21" operator="containsText" id="{4303FFB0-7549-4DC3-BA1B-15097B913B57}">
            <xm:f>NOT(ISERROR(SEARCH(Liste!$C$217,G36)))</xm:f>
            <xm:f>Liste!$C$217</xm:f>
            <x14:dxf>
              <font>
                <color rgb="FF9C5700"/>
              </font>
              <fill>
                <patternFill>
                  <bgColor rgb="FFFFEB9C"/>
                </patternFill>
              </fill>
            </x14:dxf>
          </x14:cfRule>
          <xm:sqref>G36:G37 G41 G43</xm:sqref>
        </x14:conditionalFormatting>
        <x14:conditionalFormatting xmlns:xm="http://schemas.microsoft.com/office/excel/2006/main">
          <x14:cfRule type="containsText" priority="14" operator="containsText" id="{42606318-15BE-4137-AECE-EBA9DE2D157D}">
            <xm:f>NOT(ISERROR(SEARCH(Liste!$C$214,G41)))</xm:f>
            <xm:f>Liste!$C$214</xm:f>
            <x14:dxf>
              <font>
                <color rgb="FF9C5700"/>
              </font>
              <fill>
                <patternFill>
                  <bgColor rgb="FFFFEB9C"/>
                </patternFill>
              </fill>
            </x14:dxf>
          </x14:cfRule>
          <xm:sqref>G41</xm:sqref>
        </x14:conditionalFormatting>
        <x14:conditionalFormatting xmlns:xm="http://schemas.microsoft.com/office/excel/2006/main">
          <x14:cfRule type="containsText" priority="13" operator="containsText" id="{C4667420-6FF8-46EC-925A-DDFACD0ABCE3}">
            <xm:f>NOT(ISERROR(SEARCH(Liste!$C$214,G44)))</xm:f>
            <xm:f>Liste!$C$214</xm:f>
            <x14:dxf>
              <font>
                <color rgb="FF9C5700"/>
              </font>
              <fill>
                <patternFill>
                  <bgColor rgb="FFFFEB9C"/>
                </patternFill>
              </fill>
            </x14:dxf>
          </x14:cfRule>
          <x14:cfRule type="containsText" priority="27" operator="containsText" id="{DBF830D5-E00B-4290-BA5D-BFEB50C4C4A1}">
            <xm:f>NOT(ISERROR(SEARCH(Liste!$C$214,G44)))</xm:f>
            <xm:f>Liste!$C$214</xm:f>
            <x14:dxf>
              <font>
                <color rgb="FF9C5700"/>
              </font>
              <fill>
                <patternFill>
                  <bgColor rgb="FFFFEB9C"/>
                </patternFill>
              </fill>
            </x14:dxf>
          </x14:cfRule>
          <xm:sqref>G44</xm:sqref>
        </x14:conditionalFormatting>
        <x14:conditionalFormatting xmlns:xm="http://schemas.microsoft.com/office/excel/2006/main">
          <x14:cfRule type="containsText" priority="22" operator="containsText" id="{B2880730-EFA9-450B-9BD4-90E08389CD99}">
            <xm:f>NOT(ISERROR(SEARCH(Liste!$C$217,G45)))</xm:f>
            <xm:f>Liste!$C$217</xm:f>
            <x14:dxf>
              <font>
                <color rgb="FF9C5700"/>
              </font>
              <fill>
                <patternFill>
                  <bgColor rgb="FFFFEB9C"/>
                </patternFill>
              </fill>
            </x14:dxf>
          </x14:cfRule>
          <xm:sqref>G45</xm:sqref>
        </x14:conditionalFormatting>
        <x14:conditionalFormatting xmlns:xm="http://schemas.microsoft.com/office/excel/2006/main">
          <x14:cfRule type="containsText" priority="11" operator="containsText" id="{017F36C7-8262-4FE4-BF1F-56BF4DD1AE12}">
            <xm:f>NOT(ISERROR(SEARCH(Liste!$C$217,G45)))</xm:f>
            <xm:f>Liste!$C$217</xm:f>
            <x14:dxf>
              <font>
                <color rgb="FF9C5700"/>
              </font>
              <fill>
                <patternFill>
                  <bgColor rgb="FFFFEB9C"/>
                </patternFill>
              </fill>
            </x14:dxf>
          </x14:cfRule>
          <xm:sqref>G45:G46</xm:sqref>
        </x14:conditionalFormatting>
        <x14:conditionalFormatting xmlns:xm="http://schemas.microsoft.com/office/excel/2006/main">
          <x14:cfRule type="containsText" priority="12" operator="containsText" id="{F7DDE70E-20B3-4C24-BF2E-07788119CFD1}">
            <xm:f>NOT(ISERROR(SEARCH(Liste!$C$214,G50)))</xm:f>
            <xm:f>Liste!$C$214</xm:f>
            <x14:dxf>
              <font>
                <color rgb="FF9C5700"/>
              </font>
              <fill>
                <patternFill>
                  <bgColor rgb="FFFFEB9C"/>
                </patternFill>
              </fill>
            </x14:dxf>
          </x14:cfRule>
          <xm:sqref>G50</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91E7ECA8-865B-4B44-A7D7-239B918D1AB1}">
          <x14:formula1>
            <xm:f>Liste!$N$2:$N$4</xm:f>
          </x14:formula1>
          <xm:sqref>C37 C46</xm:sqref>
        </x14:dataValidation>
        <x14:dataValidation type="list" allowBlank="1" showInputMessage="1" showErrorMessage="1" xr:uid="{8B0777E5-59F2-454D-B527-3DE95707BE06}">
          <x14:formula1>
            <xm:f>Liste!$C$6:$C$9</xm:f>
          </x14:formula1>
          <xm:sqref>H20 C20</xm:sqref>
        </x14:dataValidation>
        <x14:dataValidation type="list" allowBlank="1" showInputMessage="1" showErrorMessage="1" xr:uid="{1634FEA2-3BB8-4B38-8D34-53460B400A0E}">
          <x14:formula1>
            <xm:f>Liste!$L$3:$L$8</xm:f>
          </x14:formula1>
          <xm:sqref>H50:H51 H29 H34 H22:H24 H41:H42 C22:C23</xm:sqref>
        </x14:dataValidation>
        <x14:dataValidation type="list" allowBlank="1" showInputMessage="1" showErrorMessage="1" xr:uid="{E8016073-3391-4381-997E-1B0BAEBE265B}">
          <x14:formula1>
            <xm:f>Liste!$C$215:$C$217</xm:f>
          </x14:formula1>
          <xm:sqref>H44 H35 C35 C41 C50 C44</xm:sqref>
        </x14:dataValidation>
        <x14:dataValidation type="list" allowBlank="1" showInputMessage="1" showErrorMessage="1" xr:uid="{964FBF3D-7189-4B70-998E-A2E73F0D4A87}">
          <x14:formula1>
            <xm:f>Liste!$C$2:$C$3</xm:f>
          </x14:formula1>
          <xm:sqref>C7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ED950-DD4F-43B6-B53E-22FDE988B1B6}">
  <dimension ref="A1:D29"/>
  <sheetViews>
    <sheetView zoomScaleNormal="100" workbookViewId="0">
      <selection activeCell="C18" sqref="C18:C20"/>
    </sheetView>
  </sheetViews>
  <sheetFormatPr defaultColWidth="9.140625" defaultRowHeight="14.25"/>
  <cols>
    <col min="1" max="1" width="6.140625" style="33" customWidth="1"/>
    <col min="2" max="2" width="43.7109375" style="33" customWidth="1"/>
    <col min="3" max="3" width="31.42578125" style="33" customWidth="1"/>
    <col min="4" max="4" width="13.85546875" style="33" customWidth="1"/>
    <col min="5" max="5" width="12.42578125" style="33" customWidth="1"/>
    <col min="6" max="16384" width="9.140625" style="33"/>
  </cols>
  <sheetData>
    <row r="1" spans="1:4" ht="15.75">
      <c r="A1" s="180" t="str">
        <f>CONCATENATE("Partener: ",'Date generale'!C5)</f>
        <v xml:space="preserve">Partener: </v>
      </c>
      <c r="B1" s="34"/>
    </row>
    <row r="2" spans="1:4" ht="15.75">
      <c r="A2" s="180" t="str">
        <f>CONCATENATE( "Acord de parteneriat: ",'Date generale'!C3)</f>
        <v xml:space="preserve">Acord de parteneriat: </v>
      </c>
      <c r="B2" s="34"/>
    </row>
    <row r="4" spans="1:4" ht="77.25" customHeight="1">
      <c r="B4" s="209" t="str">
        <f>CONCATENATE("În baza acordului de parteneriat mai sus-menționat, ", 'Date generale'!C5, " a achitat taxele pentru participarea la activitatea de instruire susținută de ", 'Date generale'!C19, " în perioada ", 'Date generale'!C20, " în localitatea ", 'Date generale'!C24, " din ", 'Date generale'!C25, ", conform facturii/facturilor",":")</f>
        <v>În baza acordului de parteneriat mai sus-menționat,  a achitat taxele pentru participarea la activitatea de instruire susținută de  în perioada  în localitatea  din , conform facturii/facturilor:</v>
      </c>
      <c r="C4" s="209"/>
      <c r="D4" s="209"/>
    </row>
    <row r="6" spans="1:4" ht="15">
      <c r="B6" s="183" t="s">
        <v>346</v>
      </c>
    </row>
    <row r="7" spans="1:4">
      <c r="B7" s="184" t="s">
        <v>364</v>
      </c>
      <c r="C7" s="189">
        <f>'Date generale'!C19</f>
        <v>0</v>
      </c>
    </row>
    <row r="8" spans="1:4">
      <c r="B8" s="184" t="s">
        <v>344</v>
      </c>
      <c r="C8" s="178">
        <v>123456</v>
      </c>
    </row>
    <row r="9" spans="1:4">
      <c r="B9" s="184" t="s">
        <v>342</v>
      </c>
      <c r="C9" s="179"/>
    </row>
    <row r="10" spans="1:4">
      <c r="B10" s="185" t="s">
        <v>251</v>
      </c>
      <c r="C10" s="162"/>
    </row>
    <row r="11" spans="1:4">
      <c r="B11" s="184" t="s">
        <v>365</v>
      </c>
      <c r="C11" s="178"/>
    </row>
    <row r="12" spans="1:4" ht="15.75">
      <c r="B12" s="186" t="s">
        <v>343</v>
      </c>
      <c r="C12" s="188">
        <f>ROUND(C10*C11,2)</f>
        <v>0</v>
      </c>
    </row>
    <row r="13" spans="1:4" ht="15.75">
      <c r="B13" s="183" t="s">
        <v>366</v>
      </c>
      <c r="C13" s="182"/>
    </row>
    <row r="14" spans="1:4" ht="15.75">
      <c r="B14" s="187" t="s">
        <v>367</v>
      </c>
      <c r="C14" s="188">
        <f>C12+C13</f>
        <v>0</v>
      </c>
    </row>
    <row r="16" spans="1:4" ht="15">
      <c r="B16" s="183" t="s">
        <v>347</v>
      </c>
    </row>
    <row r="17" spans="2:3">
      <c r="B17" s="184" t="s">
        <v>341</v>
      </c>
      <c r="C17" s="189">
        <f>'Date generale'!C19</f>
        <v>0</v>
      </c>
    </row>
    <row r="18" spans="2:3">
      <c r="B18" s="184" t="s">
        <v>344</v>
      </c>
      <c r="C18" s="178"/>
    </row>
    <row r="19" spans="2:3">
      <c r="B19" s="184" t="s">
        <v>342</v>
      </c>
      <c r="C19" s="179"/>
    </row>
    <row r="20" spans="2:3">
      <c r="B20" s="185" t="s">
        <v>251</v>
      </c>
      <c r="C20" s="174"/>
    </row>
    <row r="21" spans="2:3" ht="15.75">
      <c r="B21" s="186" t="s">
        <v>343</v>
      </c>
      <c r="C21" s="188">
        <f>SUM(C20:C20)</f>
        <v>0</v>
      </c>
    </row>
    <row r="23" spans="2:3">
      <c r="B23" s="33" t="s">
        <v>345</v>
      </c>
    </row>
    <row r="26" spans="2:3" ht="15">
      <c r="B26" s="8">
        <f>'Date generale'!C5</f>
        <v>0</v>
      </c>
    </row>
    <row r="27" spans="2:3" ht="15">
      <c r="B27" s="8" t="str">
        <f>'Date generale'!B8</f>
        <v>Reprezentant legal/împuternicit</v>
      </c>
      <c r="C27" s="129" t="s">
        <v>369</v>
      </c>
    </row>
    <row r="28" spans="2:3" ht="15">
      <c r="B28" s="177">
        <f>'Date generale'!C8</f>
        <v>0</v>
      </c>
      <c r="C28" s="210"/>
    </row>
    <row r="29" spans="2:3">
      <c r="C29" s="210"/>
    </row>
  </sheetData>
  <sheetProtection algorithmName="SHA-512" hashValue="ufQ23wXuELzYOjnu+7g8klGhPiF1UOGLvT+tFoMrjzCztaAaEKGcz9fldk2A/IxhtOQoUYOW7tsuAJcgwZGtCA==" saltValue="OuwzypdEhO4nN5Xvsd9Z3Q==" spinCount="100000" sheet="1" objects="1" scenarios="1"/>
  <mergeCells count="2">
    <mergeCell ref="B4:D4"/>
    <mergeCell ref="C28:C29"/>
  </mergeCells>
  <dataValidations count="1">
    <dataValidation type="decimal" operator="greaterThanOrEqual" allowBlank="1" showInputMessage="1" showErrorMessage="1" sqref="C10:C11 C20" xr:uid="{5C7A60D9-5E1A-4578-B122-1E85FF1ADDD2}">
      <formula1>0</formula1>
    </dataValidation>
  </dataValidations>
  <pageMargins left="0.70866141732283472" right="0.70866141732283472" top="0.74803149606299213" bottom="0.74803149606299213" header="0.31496062992125984" footer="0.31496062992125984"/>
  <pageSetup paperSize="9" scale="90" orientation="portrait" r:id="rId1"/>
  <headerFooter>
    <oddFooter>&amp;R&amp;A</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834D1-D14D-492C-81D7-C32C6D0C998E}">
  <sheetPr codeName="Sheet6">
    <pageSetUpPr fitToPage="1"/>
  </sheetPr>
  <dimension ref="B2:I46"/>
  <sheetViews>
    <sheetView topLeftCell="A28" zoomScaleNormal="100" zoomScaleSheetLayoutView="115" workbookViewId="0">
      <selection activeCell="E38" sqref="E38"/>
    </sheetView>
  </sheetViews>
  <sheetFormatPr defaultColWidth="8.85546875" defaultRowHeight="14.25"/>
  <cols>
    <col min="1" max="1" width="1.7109375" style="33" customWidth="1"/>
    <col min="2" max="2" width="6.140625" style="33" customWidth="1"/>
    <col min="3" max="3" width="30.85546875" style="33" customWidth="1"/>
    <col min="4" max="4" width="14.7109375" style="33" customWidth="1"/>
    <col min="5" max="5" width="41.28515625" style="33" customWidth="1"/>
    <col min="6" max="6" width="32.28515625" style="33" customWidth="1"/>
    <col min="7" max="7" width="14.28515625" style="33" customWidth="1"/>
    <col min="8" max="8" width="8.42578125" style="33" customWidth="1"/>
    <col min="9" max="9" width="21.85546875" style="33" customWidth="1"/>
    <col min="10" max="16384" width="8.85546875" style="33"/>
  </cols>
  <sheetData>
    <row r="2" spans="2:7" ht="51" customHeight="1">
      <c r="B2" s="211" t="s">
        <v>294</v>
      </c>
      <c r="C2" s="211"/>
      <c r="D2" s="211"/>
      <c r="E2" s="211"/>
      <c r="F2" s="131" t="str">
        <f>IF(TRIM(CONCATENATE(F40))&lt;&gt;"","Atenționări!","")</f>
        <v/>
      </c>
    </row>
    <row r="3" spans="2:7" ht="15.75">
      <c r="B3" s="129" t="str">
        <f>CONCATENATE("Acord parteneriat ")</f>
        <v xml:space="preserve">Acord parteneriat </v>
      </c>
      <c r="C3" s="129"/>
      <c r="D3" s="129" t="str">
        <f>CONCATENATE("",'Date generale'!C3)</f>
        <v/>
      </c>
      <c r="E3" s="129"/>
      <c r="F3" s="47"/>
    </row>
    <row r="4" spans="2:7" ht="7.9" customHeight="1">
      <c r="B4" s="114"/>
      <c r="C4" s="114"/>
      <c r="D4" s="114"/>
      <c r="E4" s="114"/>
    </row>
    <row r="5" spans="2:7" ht="16.149999999999999" customHeight="1">
      <c r="B5" s="8" t="str">
        <f>CONCATENATE("Partener (organizație participantă) ")</f>
        <v xml:space="preserve">Partener (organizație participantă) </v>
      </c>
      <c r="C5" s="31"/>
      <c r="D5" s="117" t="str">
        <f>CONCATENATE("",'Date generale'!C5)</f>
        <v/>
      </c>
      <c r="E5" s="31"/>
    </row>
    <row r="6" spans="2:7" ht="16.149999999999999" customHeight="1">
      <c r="B6" s="8" t="str">
        <f>'Date generale'!B6</f>
        <v>Cod unic de identificare (CUI)</v>
      </c>
      <c r="C6" s="31"/>
      <c r="D6" s="118" t="str">
        <f>CONCATENATE("",'Date generale'!C6)</f>
        <v/>
      </c>
      <c r="E6" s="31"/>
    </row>
    <row r="7" spans="2:7" ht="16.149999999999999" customHeight="1">
      <c r="B7" s="115" t="str">
        <f>'Date generale'!B7</f>
        <v>Sediul (localitatea)</v>
      </c>
      <c r="C7" s="114"/>
      <c r="D7" s="114" t="str">
        <f>CONCATENATE("",'Date generale'!C7)</f>
        <v/>
      </c>
      <c r="E7" s="114"/>
    </row>
    <row r="8" spans="2:7" ht="4.9000000000000004" customHeight="1">
      <c r="B8" s="8"/>
      <c r="C8" s="31"/>
      <c r="D8" s="31"/>
      <c r="E8" s="31"/>
    </row>
    <row r="9" spans="2:7" ht="22.5" customHeight="1">
      <c r="B9" s="8" t="str">
        <f>'Date generale'!B18</f>
        <v>Denumire activitate de instruire</v>
      </c>
      <c r="C9" s="31"/>
      <c r="D9" s="212" t="str">
        <f>CONCATENATE("",'Date generale'!C18)</f>
        <v/>
      </c>
      <c r="E9" s="212"/>
    </row>
    <row r="10" spans="2:7" ht="24" customHeight="1">
      <c r="B10" s="8" t="str">
        <f>'Date generale'!B19</f>
        <v>Furnizor formare</v>
      </c>
      <c r="C10" s="31"/>
      <c r="D10" s="212" t="str">
        <f>CONCATENATE("",'Date generale'!C19)</f>
        <v/>
      </c>
      <c r="E10" s="212"/>
    </row>
    <row r="11" spans="2:7" ht="24" customHeight="1">
      <c r="B11" s="8" t="str">
        <f>'Date generale'!B24</f>
        <v>Localitatea</v>
      </c>
      <c r="C11" s="31"/>
      <c r="D11" s="213" t="str">
        <f>CONCATENATE('Date generale'!C24," - ",'Date generale'!C25)</f>
        <v xml:space="preserve"> - </v>
      </c>
      <c r="E11" s="213"/>
    </row>
    <row r="12" spans="2:7" ht="24" customHeight="1">
      <c r="B12" s="8" t="str">
        <f>'Date generale'!B20</f>
        <v>Perioada de desfășurare</v>
      </c>
      <c r="C12" s="31"/>
      <c r="D12" s="31" t="str">
        <f>CONCATENATE("",'Date generale'!C20)</f>
        <v/>
      </c>
      <c r="E12" s="31"/>
    </row>
    <row r="13" spans="2:7" ht="19.149999999999999" customHeight="1">
      <c r="B13" s="8" t="str">
        <f>'Date generale'!B21</f>
        <v>Prioritatea (PR Nord-Est 2021-2027)</v>
      </c>
      <c r="C13" s="31"/>
      <c r="D13" s="31" t="str">
        <f>CONCATENATE("",'Date generale'!C21)</f>
        <v/>
      </c>
      <c r="E13" s="31"/>
    </row>
    <row r="14" spans="2:7" ht="51" customHeight="1">
      <c r="B14" s="214" t="str">
        <f>CONCATENATE('Date generale'!B22," ")</f>
        <v xml:space="preserve">Domeniu de intervenție </v>
      </c>
      <c r="C14" s="214"/>
      <c r="D14" s="215" t="str">
        <f>CONCATENATE("",'Date generale'!C22)</f>
        <v>170 - Imbunătățirea capacității autorităților responsabile de programe și a organismelor implicate în execuția fondurilor</v>
      </c>
      <c r="E14" s="215"/>
      <c r="F14" s="45"/>
      <c r="G14" s="45"/>
    </row>
    <row r="15" spans="2:7" ht="57.6" customHeight="1">
      <c r="B15" s="212" t="str">
        <f>CONCATENATE("Între ",'Date generale'!C5," și ADR Nord-Est a fost încheiat acordul de parteneriat ",'Date generale'!C3, " pentru participarea la activitatea de instruire/formare susținută de către ",'Date generale'!C19," în perioada ",'Date generale'!C20," în localitatea ",'Date generale'!C24," din ",'Date generale'!C25, ".")</f>
        <v>Între  și ADR Nord-Est a fost încheiat acordul de parteneriat  pentru participarea la activitatea de instruire/formare susținută de către  în perioada  în localitatea  din .</v>
      </c>
      <c r="C15" s="212"/>
      <c r="D15" s="212"/>
      <c r="E15" s="212"/>
      <c r="F15" s="90"/>
      <c r="G15" s="90"/>
    </row>
    <row r="16" spans="2:7" ht="13.5" customHeight="1">
      <c r="B16" s="31"/>
      <c r="C16" s="31"/>
      <c r="D16" s="31"/>
      <c r="E16" s="31"/>
    </row>
    <row r="17" spans="2:9">
      <c r="B17" s="31" t="str">
        <f>CONCATENATE("Din partea partenerului ",'Date generale'!C5,"a/au participat:")</f>
        <v>Din partea partenerului a/au participat:</v>
      </c>
      <c r="C17" s="31"/>
      <c r="D17" s="31"/>
      <c r="E17" s="31"/>
    </row>
    <row r="18" spans="2:9">
      <c r="B18" s="68" t="str">
        <f>CONCATENATE("  - ",'Date generale'!C15)</f>
        <v xml:space="preserve">  - </v>
      </c>
      <c r="C18" s="89"/>
      <c r="D18" s="89"/>
      <c r="E18" s="31"/>
    </row>
    <row r="19" spans="2:9">
      <c r="B19" s="68" t="str">
        <f>CONCATENATE(IF('Date generale'!C16&lt;&gt;"-","  - ",""),IF('Date generale'!C16&lt;&gt;"-",'Date generale'!C16,""))</f>
        <v xml:space="preserve">  - </v>
      </c>
      <c r="C19" s="89"/>
      <c r="D19" s="89"/>
      <c r="E19" s="31"/>
    </row>
    <row r="20" spans="2:9">
      <c r="B20" s="31"/>
      <c r="C20" s="31"/>
      <c r="D20" s="31"/>
      <c r="E20" s="31"/>
    </row>
    <row r="21" spans="2:9" ht="57.6" customHeight="1">
      <c r="B21" s="216" t="str">
        <f>CONCATENATE("În conformitate cu prevederile acordului de parteneriat solicităm decontarea cheltuielilor efectuate în sumă totală de ",'Participant 1'!C67+'Participant 2'!C67+'Taxe participare'!C14+'Taxe participare'!C21," lei, din care: ", 'Taxe participare'!C14+'Taxe participare'!C21," lei"," taxe participare, ", IF('Participant 1'!C67&gt;0,CONCATENATE('Participant 1'!C67," lei conform ",'Participant 1'!A4),""),IF('Participant 2'!C67&gt;0,CONCATENATE(IF('Participant 1'!C67&gt;0,", ",""),'Participant 2'!C67," lei conform ",'Participant 2'!A4),"")," ",,,".")</f>
        <v>În conformitate cu prevederile acordului de parteneriat solicităm decontarea cheltuielilor efectuate în sumă totală de 0 lei, din care: 0 lei taxe participare,  .</v>
      </c>
      <c r="C21" s="216"/>
      <c r="D21" s="216"/>
      <c r="E21" s="216"/>
    </row>
    <row r="22" spans="2:9">
      <c r="B22" s="34"/>
      <c r="C22" s="31"/>
      <c r="D22" s="31"/>
      <c r="E22" s="31"/>
    </row>
    <row r="23" spans="2:9" ht="41.45" customHeight="1">
      <c r="B23" s="212" t="s">
        <v>327</v>
      </c>
      <c r="C23" s="212"/>
      <c r="D23" s="212"/>
      <c r="E23" s="212"/>
      <c r="F23" s="34"/>
    </row>
    <row r="24" spans="2:9" ht="45.75" customHeight="1">
      <c r="B24" s="217" t="str">
        <f>CONCATENATE('Date generale'!C5,", partener în cadrul Acordului de parteneriat ",'Date generale'!C3," este obligat să prezinte și/sau să pună la dispoziție autorităților competente toate documentele justificative în legătură cu acordul de parteneriat.")</f>
        <v>, partener în cadrul Acordului de parteneriat  este obligat să prezinte și/sau să pună la dispoziție autorităților competente toate documentele justificative în legătură cu acordul de parteneriat.</v>
      </c>
      <c r="C24" s="217"/>
      <c r="D24" s="217"/>
      <c r="E24" s="217"/>
      <c r="F24" s="93"/>
      <c r="G24" s="45"/>
      <c r="H24" s="45"/>
    </row>
    <row r="25" spans="2:9" ht="60.75" customHeight="1">
      <c r="B25" s="217" t="str">
        <f>CONCATENATE("Această obligație va fi menținută până la termenul de 5 ani de la data plății finale aferente contractului de finanțare în cadrul căruia vor fi decontate cheltuielile care fac obiectul acestui decont. În acest sens, ADR Nord-Est va informa ",'Date generale'!C5," asupra datei de la care curge termenul, în termen de 30 zile de la data plății finale.")</f>
        <v>Această obligație va fi menținută până la termenul de 5 ani de la data plății finale aferente contractului de finanțare în cadrul căruia vor fi decontate cheltuielile care fac obiectul acestui decont. În acest sens, ADR Nord-Est va informa  asupra datei de la care curge termenul, în termen de 30 zile de la data plății finale.</v>
      </c>
      <c r="C25" s="217"/>
      <c r="D25" s="217"/>
      <c r="E25" s="217"/>
      <c r="F25" s="93"/>
      <c r="G25" s="45"/>
      <c r="H25" s="45"/>
    </row>
    <row r="26" spans="2:9" ht="156" customHeight="1">
      <c r="B26" s="217" t="s">
        <v>391</v>
      </c>
      <c r="C26" s="217"/>
      <c r="D26" s="217"/>
      <c r="E26" s="217"/>
      <c r="F26" s="34"/>
      <c r="G26" s="34"/>
      <c r="H26" s="34"/>
    </row>
    <row r="27" spans="2:9" ht="28.5" customHeight="1">
      <c r="B27" s="212" t="s">
        <v>390</v>
      </c>
      <c r="C27" s="212"/>
      <c r="D27" s="212"/>
      <c r="E27" s="212"/>
      <c r="F27" s="34"/>
      <c r="G27" s="34"/>
      <c r="H27" s="34"/>
    </row>
    <row r="28" spans="2:9" ht="29.45" customHeight="1">
      <c r="B28" s="212" t="s">
        <v>34</v>
      </c>
      <c r="C28" s="212"/>
      <c r="D28" s="212"/>
      <c r="E28" s="212"/>
      <c r="F28" s="34"/>
      <c r="G28" s="34"/>
      <c r="H28" s="34"/>
    </row>
    <row r="29" spans="2:9" ht="12" customHeight="1">
      <c r="B29" s="46"/>
      <c r="C29" s="46"/>
      <c r="D29" s="46"/>
      <c r="E29" s="46"/>
      <c r="F29" s="46"/>
      <c r="G29" s="46"/>
      <c r="H29" s="46"/>
    </row>
    <row r="30" spans="2:9">
      <c r="B30" s="31" t="s">
        <v>37</v>
      </c>
      <c r="C30" s="31"/>
      <c r="D30" s="46"/>
      <c r="E30" s="46"/>
      <c r="F30" s="46"/>
      <c r="G30" s="46"/>
      <c r="H30" s="46"/>
    </row>
    <row r="31" spans="2:9">
      <c r="B31" s="31"/>
      <c r="C31" s="68" t="s">
        <v>323</v>
      </c>
      <c r="D31" s="123" t="str">
        <f>IF('Date generale'!C5&lt;&gt;"",'Date generale'!C5,"")</f>
        <v/>
      </c>
      <c r="E31" s="104"/>
      <c r="F31" s="46"/>
      <c r="G31" s="46"/>
      <c r="H31" s="46"/>
      <c r="I31" s="46"/>
    </row>
    <row r="32" spans="2:9">
      <c r="B32" s="31"/>
      <c r="C32" s="68" t="s">
        <v>35</v>
      </c>
      <c r="D32" s="123" t="str">
        <f>IF('Date generale'!C6&lt;&gt;"",'Date generale'!C6,"")</f>
        <v/>
      </c>
      <c r="E32" s="104"/>
      <c r="F32" s="46"/>
      <c r="G32" s="46"/>
      <c r="H32" s="46"/>
      <c r="I32" s="46"/>
    </row>
    <row r="33" spans="2:9">
      <c r="B33" s="31"/>
      <c r="C33" s="68"/>
      <c r="D33" s="123"/>
      <c r="E33" s="104"/>
      <c r="F33" s="46"/>
      <c r="G33" s="46"/>
      <c r="H33" s="46"/>
      <c r="I33" s="46"/>
    </row>
    <row r="34" spans="2:9">
      <c r="B34" s="31"/>
      <c r="C34" s="125" t="s">
        <v>36</v>
      </c>
      <c r="D34" s="125" t="s">
        <v>315</v>
      </c>
      <c r="E34" s="124" t="s">
        <v>340</v>
      </c>
      <c r="F34" s="46"/>
      <c r="G34" s="46"/>
      <c r="H34" s="46"/>
      <c r="I34" s="46"/>
    </row>
    <row r="35" spans="2:9">
      <c r="B35" s="31"/>
      <c r="C35" s="124" t="str">
        <f>CONCATENATE("",'Date generale'!C9)</f>
        <v/>
      </c>
      <c r="D35" s="130"/>
      <c r="E35" s="191"/>
      <c r="F35" s="46"/>
      <c r="G35" s="46"/>
      <c r="H35" s="46"/>
      <c r="I35" s="46"/>
    </row>
    <row r="36" spans="2:9">
      <c r="B36" s="31"/>
      <c r="C36" s="124" t="str">
        <f>CONCATENATE("",'Date generale'!C10)</f>
        <v/>
      </c>
      <c r="D36" s="130"/>
      <c r="E36" s="191"/>
      <c r="F36" s="46"/>
      <c r="G36" s="46"/>
      <c r="H36" s="46"/>
      <c r="I36" s="46"/>
    </row>
    <row r="37" spans="2:9">
      <c r="B37" s="31"/>
      <c r="C37" s="124" t="str">
        <f>CONCATENATE("",'Date generale'!C11)</f>
        <v/>
      </c>
      <c r="D37" s="130"/>
      <c r="E37" s="191"/>
      <c r="F37" s="46"/>
      <c r="G37" s="46"/>
      <c r="H37" s="46"/>
      <c r="I37" s="46"/>
    </row>
    <row r="38" spans="2:9">
      <c r="B38" s="31"/>
      <c r="C38" s="124" t="str">
        <f>CONCATENATE("",'Date generale'!C12)</f>
        <v/>
      </c>
      <c r="D38" s="130"/>
      <c r="E38" s="191"/>
      <c r="F38" s="46"/>
      <c r="G38" s="46"/>
      <c r="H38" s="46"/>
      <c r="I38" s="46"/>
    </row>
    <row r="39" spans="2:9">
      <c r="B39" s="31"/>
      <c r="C39" s="124" t="str">
        <f>CONCATENATE("",'Date generale'!C13)</f>
        <v/>
      </c>
      <c r="D39" s="130"/>
      <c r="E39" s="191"/>
      <c r="F39" s="190"/>
      <c r="G39" s="46"/>
      <c r="H39" s="46"/>
      <c r="I39" s="46"/>
    </row>
    <row r="40" spans="2:9" ht="15">
      <c r="B40" s="31"/>
      <c r="C40" s="127" t="str">
        <f>CONCATENATE("Total",IF('Participant 1'!C67+'Participant 2'!C67=D40," (total cheltuieli)",""))</f>
        <v>Total (total cheltuieli)</v>
      </c>
      <c r="D40" s="126">
        <f>SUM(D35:D39)</f>
        <v>0</v>
      </c>
      <c r="E40" s="92"/>
      <c r="F40" s="132" t="str">
        <f>IF(D40&lt;&gt;'Participant 1'!C67+'Participant 2'!C67+'Taxe participare'!C14+'Taxe participare'!C21,CONCATENATE("Total = ",'Participant 1'!C67+'Participant 2'!C67+'Taxe participare'!C14+'Taxe participare'!C21),"")</f>
        <v/>
      </c>
    </row>
    <row r="41" spans="2:9" ht="15">
      <c r="B41" s="31"/>
      <c r="C41" s="116"/>
      <c r="D41" s="133"/>
      <c r="E41" s="31"/>
    </row>
    <row r="42" spans="2:9" ht="15">
      <c r="B42" s="31"/>
      <c r="C42" s="116"/>
      <c r="D42" s="31"/>
      <c r="E42" s="31"/>
    </row>
    <row r="43" spans="2:9">
      <c r="B43" s="31"/>
      <c r="C43" s="31"/>
      <c r="D43" s="31"/>
      <c r="E43" s="31"/>
    </row>
    <row r="44" spans="2:9" ht="15">
      <c r="B44" s="8">
        <f>'Date generale'!C5</f>
        <v>0</v>
      </c>
      <c r="C44" s="31"/>
      <c r="D44" s="31"/>
      <c r="E44" s="31"/>
    </row>
    <row r="45" spans="2:9" ht="15">
      <c r="B45" s="8" t="str">
        <f>'Date generale'!B8</f>
        <v>Reprezentant legal/împuternicit</v>
      </c>
      <c r="C45" s="31"/>
      <c r="D45" s="31"/>
      <c r="E45" s="31"/>
    </row>
    <row r="46" spans="2:9" ht="15">
      <c r="B46" s="8" t="str">
        <f>CONCATENATE("",'Date generale'!C8)</f>
        <v/>
      </c>
      <c r="C46" s="31"/>
      <c r="D46" s="31"/>
      <c r="E46" s="31"/>
    </row>
  </sheetData>
  <sheetProtection algorithmName="SHA-512" hashValue="c45ikfdghrtfUhqISGPo5Ljsl9psu5LqceLkwLYyhIw2sFIrA/HdahDh7RZp9LNFB+X+HcB9fMzZ0p8kchpwlA==" saltValue="CArZP+WidbGd9kg13COPlg==" spinCount="100000" sheet="1" selectLockedCells="1"/>
  <mergeCells count="14">
    <mergeCell ref="B21:E21"/>
    <mergeCell ref="B28:E28"/>
    <mergeCell ref="B23:E23"/>
    <mergeCell ref="B24:E24"/>
    <mergeCell ref="B25:E25"/>
    <mergeCell ref="B26:E26"/>
    <mergeCell ref="B27:E27"/>
    <mergeCell ref="B2:E2"/>
    <mergeCell ref="B15:E15"/>
    <mergeCell ref="D9:E9"/>
    <mergeCell ref="D10:E10"/>
    <mergeCell ref="D11:E11"/>
    <mergeCell ref="B14:C14"/>
    <mergeCell ref="D14:E14"/>
  </mergeCells>
  <pageMargins left="0.51181102362204722" right="0.51181102362204722" top="0.74803149606299213" bottom="0.74803149606299213" header="0.31496062992125984" footer="0.31496062992125984"/>
  <pageSetup paperSize="9" scale="97" fitToHeight="0" orientation="portrait" r:id="rId1"/>
  <headerFooter>
    <oddFooter>&amp;L&amp;F&amp;A&amp;R&amp;P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ACC69-9A98-49E3-B9C8-0D8AC0F9610C}">
  <dimension ref="B1:G39"/>
  <sheetViews>
    <sheetView topLeftCell="A10" zoomScale="130" zoomScaleNormal="130" workbookViewId="0">
      <selection activeCell="G27" sqref="G27"/>
    </sheetView>
  </sheetViews>
  <sheetFormatPr defaultRowHeight="15"/>
  <cols>
    <col min="2" max="2" width="45.7109375" customWidth="1"/>
    <col min="3" max="3" width="21.28515625" customWidth="1"/>
    <col min="4" max="4" width="18" customWidth="1"/>
    <col min="5" max="5" width="11.28515625" customWidth="1"/>
    <col min="7" max="7" width="15.7109375" bestFit="1" customWidth="1"/>
  </cols>
  <sheetData>
    <row r="1" spans="2:7" ht="30">
      <c r="B1" s="30"/>
      <c r="C1" s="49" t="s">
        <v>38</v>
      </c>
      <c r="D1" s="49" t="s">
        <v>240</v>
      </c>
      <c r="E1" s="49" t="s">
        <v>298</v>
      </c>
    </row>
    <row r="2" spans="2:7" ht="30">
      <c r="B2" s="29" t="s">
        <v>284</v>
      </c>
      <c r="C2" s="4">
        <v>265</v>
      </c>
      <c r="D2" s="4">
        <f t="shared" ref="D2:E5" si="0">C2</f>
        <v>265</v>
      </c>
      <c r="E2" s="4">
        <f t="shared" si="0"/>
        <v>265</v>
      </c>
    </row>
    <row r="3" spans="2:7" ht="30">
      <c r="B3" s="29" t="s">
        <v>285</v>
      </c>
      <c r="C3" s="4">
        <v>23</v>
      </c>
      <c r="D3" s="4">
        <f t="shared" si="0"/>
        <v>23</v>
      </c>
      <c r="E3" s="4">
        <f t="shared" si="0"/>
        <v>23</v>
      </c>
    </row>
    <row r="4" spans="2:7">
      <c r="B4" s="29" t="s">
        <v>242</v>
      </c>
      <c r="C4" s="6" t="str">
        <f>IF('Date generale'!C25&lt;&gt;"",'Date generale'!C25,"Romania")</f>
        <v>Romania</v>
      </c>
      <c r="D4" s="6" t="str">
        <f t="shared" si="0"/>
        <v>Romania</v>
      </c>
      <c r="E4" s="6" t="str">
        <f t="shared" si="0"/>
        <v>Romania</v>
      </c>
    </row>
    <row r="5" spans="2:7" ht="30">
      <c r="B5" s="3" t="s">
        <v>256</v>
      </c>
      <c r="C5" s="103" t="str">
        <f>IF('Date generale'!C23="DA",VLOOKUP($C$4,Liste!C17:H183,2),"Nu este cazul")</f>
        <v>Nu este cazul</v>
      </c>
      <c r="D5" s="103" t="str">
        <f t="shared" si="0"/>
        <v>Nu este cazul</v>
      </c>
      <c r="E5" s="103" t="str">
        <f t="shared" si="0"/>
        <v>Nu este cazul</v>
      </c>
    </row>
    <row r="6" spans="2:7">
      <c r="B6" s="3" t="s">
        <v>257</v>
      </c>
      <c r="C6" s="103" t="str">
        <f>'Participant 1'!$C$7</f>
        <v>Categoria I</v>
      </c>
      <c r="D6" s="103" t="str">
        <f>'Participant 2'!$C$7</f>
        <v>Categoria I</v>
      </c>
      <c r="E6" s="103"/>
    </row>
    <row r="7" spans="2:7" ht="30">
      <c r="B7" s="3" t="str">
        <f>CONCATENATE(IF('Date generale'!C27="DA","Plafon indemnizație ","Indemnizație "),"cazare/noapte - ",'Participant 1'!C8," pentru ",'Date generale'!C25," - ",'Participant 1'!C9)</f>
        <v xml:space="preserve">Indemnizație cazare/noapte - Nu este cazul pentru  - </v>
      </c>
      <c r="C7" s="6">
        <f>VLOOKUP($C$4,Liste!$C$17:$H$183,4+IF(C6="Categoria II",2,0))</f>
        <v>0</v>
      </c>
      <c r="D7" s="6">
        <f>VLOOKUP($D$4,Liste!$C$17:$H$183,4+IF(D6="Categoria II",2,0))</f>
        <v>0</v>
      </c>
      <c r="E7" s="6"/>
    </row>
    <row r="8" spans="2:7">
      <c r="B8" s="3" t="str">
        <f>CONCATENATE("Nivel diurnă/zi - ",'Participant 1'!C9," pentru ",'Date generale'!C25," - ",'Participant 1'!C10)</f>
        <v xml:space="preserve">Nivel diurnă/zi -  pentru  - </v>
      </c>
      <c r="C8" s="6">
        <f>VLOOKUP($C$4,Liste!$C$17:$H$183,3+IF(C6="Categoria II",2,0))</f>
        <v>0</v>
      </c>
      <c r="D8" s="6">
        <f>VLOOKUP($D$4,Liste!$C$17:$H$183,3+IF(D6="Categoria II",2,0))</f>
        <v>0</v>
      </c>
      <c r="E8" s="6"/>
    </row>
    <row r="9" spans="2:7">
      <c r="B9" s="29"/>
      <c r="C9" s="6"/>
      <c r="D9" s="6"/>
      <c r="E9" s="6"/>
    </row>
    <row r="10" spans="2:7" ht="30">
      <c r="B10" s="1" t="str">
        <f>'Participant 1'!B13</f>
        <v>Data și ora plecării în delegație (ziua/luna/an ora:minute)</v>
      </c>
      <c r="C10" s="50" t="str">
        <f>IF('Participant 1'!$C$13&lt;&gt;"",'Participant 1'!$C$13,"")</f>
        <v/>
      </c>
      <c r="D10" s="50" t="str">
        <f>IF('Participant 2'!$C$13&lt;&gt;"",'Participant 2'!$C$13,"")</f>
        <v/>
      </c>
      <c r="E10" s="50"/>
      <c r="G10" s="101"/>
    </row>
    <row r="11" spans="2:7" ht="30">
      <c r="B11" s="1" t="str">
        <f>'Participant 1'!B14</f>
        <v>Data și ora întoarcerii din delegație (ziua/luna/an ora:minute)</v>
      </c>
      <c r="C11" s="50" t="str">
        <f>IF('Participant 1'!$C$14&lt;&gt;"",'Participant 1'!$C$14,"")</f>
        <v/>
      </c>
      <c r="D11" s="50" t="str">
        <f>IF('Participant 2'!$C$14&lt;&gt;"",'Participant 2'!$C$14,"")</f>
        <v/>
      </c>
      <c r="E11" s="50"/>
      <c r="G11" s="101"/>
    </row>
    <row r="12" spans="2:7" ht="30">
      <c r="B12" s="1" t="str">
        <f>'Participant 1'!B16</f>
        <v>Data și ora ieșirii din România (zi/lună/an ora:minute)</v>
      </c>
      <c r="C12" s="50" t="str">
        <f>IF('Participant 1'!$C$16&lt;&gt;"",'Participant 1'!$C$16,"")</f>
        <v/>
      </c>
      <c r="D12" s="50" t="str">
        <f>IF('Participant 2'!$C$16&lt;&gt;"",'Participant 2'!$C$16,"")</f>
        <v/>
      </c>
      <c r="E12" s="50"/>
      <c r="G12" s="101"/>
    </row>
    <row r="13" spans="2:7" ht="30">
      <c r="B13" s="1" t="str">
        <f>'Participant 1'!B17</f>
        <v>Data și ora întoarcerii în România (zi/lună/an ora:minute)</v>
      </c>
      <c r="C13" s="50" t="str">
        <f>IF('Participant 1'!$C$17&lt;&gt;"",'Participant 1'!$C$17,"")</f>
        <v/>
      </c>
      <c r="D13" s="50" t="str">
        <f>IF('Participant 2'!$C$17&lt;&gt;"",'Participant 2'!$C$17,"")</f>
        <v/>
      </c>
      <c r="E13" s="50"/>
      <c r="G13" s="101"/>
    </row>
    <row r="14" spans="2:7">
      <c r="B14" s="41" t="s">
        <v>261</v>
      </c>
      <c r="C14" s="51" t="str">
        <f>IF('Participant 1'!$C$18&lt;&gt;"",'Participant 1'!$C$18,"")</f>
        <v/>
      </c>
      <c r="D14" s="51" t="str">
        <f>IF('Participant 2'!$C$18&lt;&gt;"",'Participant 2'!$C$18,"")</f>
        <v/>
      </c>
      <c r="E14" s="51"/>
    </row>
    <row r="15" spans="2:7" ht="30">
      <c r="B15" s="37" t="s">
        <v>262</v>
      </c>
      <c r="C15" s="52" t="b">
        <f>IF(AND(ISNUMBER(C11),ISNUMBER(C14)),IF(AND(YEAR(C11)=YEAR(C14),MONTH(C11)=MONTH(C14),DAY(C11)=DAY(C14)),TRUE,FALSE),FALSE)</f>
        <v>0</v>
      </c>
      <c r="D15" s="52" t="b">
        <f>IF(AND(ISNUMBER(D11),ISNUMBER(D14)),IF(AND(YEAR(D11)=YEAR(D14),MONTH(D11)=MONTH(D14),DAY(D11)=DAY(D14)),TRUE,FALSE),FALSE)</f>
        <v>0</v>
      </c>
      <c r="E15" s="52"/>
    </row>
    <row r="16" spans="2:7">
      <c r="B16" s="35" t="s">
        <v>330</v>
      </c>
      <c r="C16" s="53" t="str">
        <f>CONCATENATE(IF(AND(ISNUMBER(C11),ISNUMBER(C14)),IF(AND(C14&lt;C11,NOT(C15)),"Anterior finalului delegației?",""),""))</f>
        <v/>
      </c>
      <c r="D16" s="53" t="str">
        <f>CONCATENATE(IF(AND(ISNUMBER(D11),ISNUMBER(D14)),IF(AND(D14&lt;D11,NOT(D15)),"Anterior finalului delegației?",""),""))</f>
        <v/>
      </c>
      <c r="E16" s="53"/>
    </row>
    <row r="17" spans="2:7">
      <c r="B17" s="35" t="s">
        <v>278</v>
      </c>
      <c r="C17" s="100">
        <f>IF(AND(ISNUMBER(C12),ISNUMBER(C13)),24*60*(C13-C12),0)</f>
        <v>0</v>
      </c>
      <c r="D17" s="54">
        <f>IF(AND(ISNUMBER(D12),ISNUMBER(D13)),24*60*(D13-D12),0)</f>
        <v>0</v>
      </c>
      <c r="E17" s="54"/>
    </row>
    <row r="18" spans="2:7" ht="15.75" thickBot="1">
      <c r="B18" s="36" t="s">
        <v>329</v>
      </c>
      <c r="C18" s="55">
        <f>ROUNDUP(C17/(12*60),0)</f>
        <v>0</v>
      </c>
      <c r="D18" s="55">
        <f>ROUNDUP(D17/(12*60),0)</f>
        <v>0</v>
      </c>
      <c r="E18" s="55"/>
    </row>
    <row r="19" spans="2:7" ht="15.75" thickTop="1">
      <c r="B19" s="35" t="s">
        <v>39</v>
      </c>
      <c r="C19" s="54">
        <f>IF('Date generale'!$C$23="DA",1,0)*C18*IF('Participant 1'!$C$10&lt;&gt;"",'Participant 1'!$C$10/2,0)</f>
        <v>0</v>
      </c>
      <c r="D19" s="54">
        <f>IF('Date generale'!$C$23="DA",1,0)*D18*IF('Participant 2'!$C$10&lt;&gt;"",'Participant 2'!$C$10/2,0)</f>
        <v>0</v>
      </c>
      <c r="E19" s="54"/>
    </row>
    <row r="20" spans="2:7">
      <c r="B20" s="35" t="s">
        <v>248</v>
      </c>
      <c r="C20" s="54" t="str">
        <f>IF(AND(ISNUMBER(C10),ISNUMBER(C12)),IF(C12&lt;C10,"Anterior începutului delegației?",""),"")</f>
        <v/>
      </c>
      <c r="D20" s="54" t="str">
        <f>IF(AND(ISNUMBER(D10),ISNUMBER(D12)),IF(D12&lt;D10,"Anterior începutului delegației?",""),"")</f>
        <v/>
      </c>
      <c r="E20" s="54"/>
    </row>
    <row r="21" spans="2:7">
      <c r="B21" s="35" t="s">
        <v>249</v>
      </c>
      <c r="C21" s="54" t="str">
        <f>IF(AND(ISNUMBER(C11),ISNUMBER(C13)),IF(C13&gt;C11,"Ulterior finalului delegației?",""),"")</f>
        <v/>
      </c>
      <c r="D21" s="54" t="str">
        <f>IF(AND(ISNUMBER(D11),ISNUMBER(D13)),IF(D13&gt;D11,"Ulterior finalului delegației?",""),"")</f>
        <v/>
      </c>
      <c r="E21" s="54"/>
    </row>
    <row r="22" spans="2:7" ht="15.75" thickBot="1">
      <c r="B22" s="36" t="s">
        <v>233</v>
      </c>
      <c r="C22" s="55" t="str">
        <f>IF(C19&lt;&gt;0,IF(OR('Participant 1'!$C$54/C19&lt;&gt;INT('Participant 1'!$C$54/C19),'Participant 1'!$C$54&gt;C19),CONCATENATE("Val. calculată =",C19),""),"")</f>
        <v/>
      </c>
      <c r="D22" s="55" t="str">
        <f>IF(D19&lt;&gt;0,IF(OR('Participant 2'!$C$54/D19&lt;&gt;INT('Participant 2'!$C$54/D19),'Participant 2'!$C$54&gt;D19),CONCATENATE("Val. calculată =",D19),""),"")</f>
        <v/>
      </c>
      <c r="E22" s="55"/>
    </row>
    <row r="23" spans="2:7" ht="15.75" thickTop="1">
      <c r="B23" s="35" t="s">
        <v>247</v>
      </c>
      <c r="C23" s="54">
        <f>IF(AND(ISNUMBER(C12),ISNUMBER(C13)),_xlfn.DAYS(C13,C12),0)</f>
        <v>0</v>
      </c>
      <c r="D23" s="54">
        <f>IF(AND(ISNUMBER(D12),ISNUMBER(D13)),_xlfn.DAYS(D13,D12),0)</f>
        <v>0</v>
      </c>
      <c r="E23" s="54"/>
    </row>
    <row r="24" spans="2:7">
      <c r="B24" s="2" t="s">
        <v>40</v>
      </c>
      <c r="C24" s="6">
        <f>C23*IF('Participant 1'!$C$9&lt;&gt;"",'Participant 1'!$C$9,0)</f>
        <v>0</v>
      </c>
      <c r="D24" s="6">
        <f>D23*IF('Participant 1'!$C$9&lt;&gt;"",'Participant 1'!$C$9,0)</f>
        <v>0</v>
      </c>
      <c r="E24" s="6"/>
    </row>
    <row r="25" spans="2:7" ht="15.75" thickBot="1">
      <c r="B25" s="36" t="s">
        <v>41</v>
      </c>
      <c r="C25" s="55" t="str">
        <f>IF(C24&lt;&gt;0,IF(OR('Participant 1'!$C$55/C24&lt;&gt;INT('Participant 1'!$C$55/C24),'Participant 1'!$C$55&gt;C24),CONCATENATE("Val. calculată =",C24),""),"")</f>
        <v/>
      </c>
      <c r="D25" s="55" t="str">
        <f>IF(D24&lt;&gt;0,IF(OR('Participant 2'!$C$55/D24&lt;&gt;INT('Participant 2'!$C$55/D24),'Participant 2'!$C$55&gt;D24),CONCATENATE("Val. calculată =",D24),""),"")</f>
        <v/>
      </c>
      <c r="E25" s="55"/>
    </row>
    <row r="26" spans="2:7" ht="30.75" thickTop="1">
      <c r="B26" s="35" t="s">
        <v>279</v>
      </c>
      <c r="C26" s="54">
        <f>IF(AND(ISNUMBER(C10),ISNUMBER(C12)),24*60*(C12-C10),0)</f>
        <v>0</v>
      </c>
      <c r="D26" s="54">
        <f>IF(AND(ISNUMBER(D10),ISNUMBER(D12)),24*60*(D12-D10),0)</f>
        <v>0</v>
      </c>
      <c r="E26" s="54">
        <f>IF(AND(ISNUMBER(E10),ISNUMBER(E12)),24*60*(E12-E10),0)</f>
        <v>0</v>
      </c>
    </row>
    <row r="27" spans="2:7" ht="30">
      <c r="B27" s="35" t="s">
        <v>280</v>
      </c>
      <c r="C27" s="6">
        <f>IF(AND(ISNUMBER(C11),ISNUMBER(C13)),24*60*(C11-C13),0)</f>
        <v>0</v>
      </c>
      <c r="D27" s="6">
        <f>IF(AND(ISNUMBER(D11),ISNUMBER(D13)),24*60*(D11-D13),0)</f>
        <v>0</v>
      </c>
      <c r="E27" s="6">
        <f>IF(AND(ISNUMBER(E11),ISNUMBER(E13)),24*60*(E11-E13),0)</f>
        <v>0</v>
      </c>
    </row>
    <row r="28" spans="2:7">
      <c r="B28" s="35" t="s">
        <v>281</v>
      </c>
      <c r="C28" s="6">
        <f>IF(AND(ISNUMBER(C10),ISNUMBER(C12)),24*60*(C12-C10),0)+IF(AND(ISNUMBER(C11),ISNUMBER(C13)),24*60*(C11-C13),0)</f>
        <v>0</v>
      </c>
      <c r="D28" s="6">
        <f>IF(AND(ISNUMBER(D10),ISNUMBER(D12)),24*60*(D12-D10),0)+IF(AND(ISNUMBER(D11),ISNUMBER(D13)),24*60*(D11-D13),0)</f>
        <v>0</v>
      </c>
      <c r="E28" s="6">
        <f>IF(AND(ISNUMBER(E10),ISNUMBER(E12)),24*60*(E12-E10),0)+IF(AND(ISNUMBER(E11),ISNUMBER(E13)),24*60*(E11-E13),0)</f>
        <v>0</v>
      </c>
    </row>
    <row r="29" spans="2:7" ht="45">
      <c r="B29" s="35" t="s">
        <v>363</v>
      </c>
      <c r="C29" s="6">
        <f>IF(C26&gt;=12*60,INT(C26/(24*60))+IF(MOD(C26,24*60)&gt;=12*60,1,0),0)</f>
        <v>0</v>
      </c>
      <c r="D29" s="6">
        <f t="shared" ref="D29:E30" si="1">IF(D26&gt;12*60,INT(D26/(24*60))+IF(MOD(D26,24*60)&gt;=12*60,1,0),0)</f>
        <v>0</v>
      </c>
      <c r="E29" s="6">
        <f t="shared" si="1"/>
        <v>0</v>
      </c>
      <c r="G29">
        <f>IF(C26&gt;12*60,INT(C26/(24*60))+IF(MOD(C26,24*60)&gt;=12*60,1,0),0)</f>
        <v>0</v>
      </c>
    </row>
    <row r="30" spans="2:7" ht="30">
      <c r="B30" s="35" t="s">
        <v>348</v>
      </c>
      <c r="C30" s="175">
        <f>IF(C27&gt;=12*60,INT(C27/(24*60))+IF(MOD(C27,24*60)&gt;=12*60,1,0),0)</f>
        <v>0</v>
      </c>
      <c r="D30" s="6">
        <f t="shared" si="1"/>
        <v>0</v>
      </c>
      <c r="E30" s="6">
        <f t="shared" si="1"/>
        <v>0</v>
      </c>
      <c r="G30">
        <f>IF(C27&gt;12*60,INT(C27/(24*60))+IF(MOD(C27,24*60)&gt;=12*60,1,0),0)</f>
        <v>0</v>
      </c>
    </row>
    <row r="31" spans="2:7">
      <c r="B31" s="42"/>
      <c r="C31" s="175"/>
      <c r="D31" s="6"/>
      <c r="E31" s="6"/>
    </row>
    <row r="32" spans="2:7">
      <c r="B32" s="176" t="s">
        <v>286</v>
      </c>
      <c r="C32" s="56">
        <f>SUM(C29:C31)*C3</f>
        <v>0</v>
      </c>
      <c r="D32" s="56">
        <f>SUM(D29:D31)*D3</f>
        <v>0</v>
      </c>
      <c r="E32" s="56">
        <f>SUM(E29:E31)*E3</f>
        <v>0</v>
      </c>
    </row>
    <row r="33" spans="2:5" ht="15.75" thickBot="1">
      <c r="B33" s="43" t="s">
        <v>283</v>
      </c>
      <c r="C33" s="55" t="str">
        <f>IF('Participant 1'!$C$60&gt;C32,CONCATENATE("Val. referință = ",C32, " lei"),"")</f>
        <v/>
      </c>
      <c r="D33" s="55" t="str">
        <f>IF('Participant 2'!$C$60&gt;D32,CONCATENATE("Val. referință = ",D32, " lei"),"")</f>
        <v/>
      </c>
      <c r="E33" s="55"/>
    </row>
    <row r="34" spans="2:5" ht="15.75" thickTop="1">
      <c r="B34" s="35" t="s">
        <v>277</v>
      </c>
      <c r="C34" s="54">
        <f>IF(AND(ISNUMBER(C12),ISNUMBER(C10)),_xlfn.DAYS(C12,C10),0)+IF(AND(ISNUMBER(C11),ISNUMBER(C13)),_xlfn.DAYS(C11,C13),0)</f>
        <v>0</v>
      </c>
      <c r="D34" s="54">
        <f>IF(AND(ISNUMBER(D12),ISNUMBER(D10)),_xlfn.DAYS(D12,D10),0)+IF(AND(ISNUMBER(D11),ISNUMBER(D13)),_xlfn.DAYS(D11,D13),0)</f>
        <v>0</v>
      </c>
      <c r="E34" s="54">
        <f>IF(AND(ISNUMBER(E12),ISNUMBER(E10)),_xlfn.DAYS(E12,E10),0)+IF(AND(ISNUMBER(E11),ISNUMBER(E13)),_xlfn.DAYS(E11,E13),0)</f>
        <v>0</v>
      </c>
    </row>
    <row r="35" spans="2:5">
      <c r="B35" s="2" t="s">
        <v>276</v>
      </c>
      <c r="C35" s="6">
        <f>C34*C2</f>
        <v>0</v>
      </c>
      <c r="D35" s="6">
        <f>D34*D2</f>
        <v>0</v>
      </c>
      <c r="E35" s="6">
        <f>E34*E2</f>
        <v>0</v>
      </c>
    </row>
    <row r="36" spans="2:5" ht="15.75" thickBot="1">
      <c r="B36" s="36" t="s">
        <v>282</v>
      </c>
      <c r="C36" s="57" t="str">
        <f>IF('Participant 1'!$C$61&gt;C35,CONCATENATE("Val. referință = ",C35," lei"),"")</f>
        <v/>
      </c>
      <c r="D36" s="57" t="str">
        <f>IF('Participant 2'!$C$61&gt;D35,CONCATENATE("Val. referință = ",D35," lei"),"")</f>
        <v/>
      </c>
      <c r="E36" s="57"/>
    </row>
    <row r="37" spans="2:5" ht="15.75" thickTop="1">
      <c r="B37" s="35" t="s">
        <v>307</v>
      </c>
      <c r="C37" s="88">
        <f>'Participant 1'!C67</f>
        <v>0</v>
      </c>
      <c r="D37" s="88">
        <f>'Participant 2'!C67</f>
        <v>0</v>
      </c>
      <c r="E37" s="54"/>
    </row>
    <row r="38" spans="2:5" ht="19.149999999999999" customHeight="1" thickBot="1">
      <c r="B38" s="36" t="s">
        <v>306</v>
      </c>
      <c r="C38" s="102">
        <f>INT(SUM(C7:C14)+C17+C37)</f>
        <v>0</v>
      </c>
      <c r="D38" s="102">
        <f>INT(SUM(D7:D14)+D17+D37)</f>
        <v>0</v>
      </c>
      <c r="E38" s="99"/>
    </row>
    <row r="39" spans="2:5" ht="15.75" thickTop="1">
      <c r="B39" s="4"/>
    </row>
  </sheetData>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1F422-15F7-4F51-BF50-FFA66902CA69}">
  <dimension ref="B1:N217"/>
  <sheetViews>
    <sheetView topLeftCell="B49" zoomScale="145" zoomScaleNormal="145" workbookViewId="0">
      <selection activeCell="L47" sqref="L47"/>
    </sheetView>
  </sheetViews>
  <sheetFormatPr defaultRowHeight="15"/>
  <cols>
    <col min="2" max="2" width="4" style="9" customWidth="1"/>
    <col min="3" max="3" width="23.42578125" customWidth="1"/>
    <col min="12" max="12" width="13.140625" customWidth="1"/>
  </cols>
  <sheetData>
    <row r="1" spans="2:14">
      <c r="C1" s="20" t="s">
        <v>235</v>
      </c>
      <c r="F1" s="39" t="s">
        <v>13</v>
      </c>
      <c r="G1" s="40"/>
      <c r="H1" s="40"/>
      <c r="I1" s="40"/>
      <c r="J1" s="40"/>
      <c r="N1" s="40" t="s">
        <v>287</v>
      </c>
    </row>
    <row r="2" spans="2:14">
      <c r="C2" s="22" t="s">
        <v>222</v>
      </c>
      <c r="F2" s="38" t="s">
        <v>25</v>
      </c>
      <c r="G2" s="22"/>
      <c r="H2" s="22"/>
      <c r="I2" s="22"/>
      <c r="J2" s="22"/>
      <c r="L2" s="7" t="s">
        <v>291</v>
      </c>
      <c r="N2" s="22" t="s">
        <v>19</v>
      </c>
    </row>
    <row r="3" spans="2:14">
      <c r="C3" s="22" t="s">
        <v>223</v>
      </c>
      <c r="F3" s="38" t="s">
        <v>26</v>
      </c>
      <c r="G3" s="22"/>
      <c r="H3" s="22"/>
      <c r="I3" s="22"/>
      <c r="J3" s="22"/>
      <c r="L3" s="38" t="s">
        <v>19</v>
      </c>
      <c r="N3" s="22" t="s">
        <v>288</v>
      </c>
    </row>
    <row r="4" spans="2:14">
      <c r="F4" s="38" t="s">
        <v>27</v>
      </c>
      <c r="G4" s="22"/>
      <c r="H4" s="22"/>
      <c r="I4" s="22"/>
      <c r="J4" s="22"/>
      <c r="L4" s="38" t="s">
        <v>3</v>
      </c>
      <c r="N4" s="22" t="s">
        <v>289</v>
      </c>
    </row>
    <row r="5" spans="2:14">
      <c r="C5" s="44" t="s">
        <v>290</v>
      </c>
      <c r="F5" s="38" t="s">
        <v>28</v>
      </c>
      <c r="G5" s="22"/>
      <c r="H5" s="22"/>
      <c r="I5" s="22"/>
      <c r="J5" s="22"/>
      <c r="L5" s="38" t="s">
        <v>5</v>
      </c>
    </row>
    <row r="6" spans="2:14">
      <c r="C6" s="5" t="s">
        <v>7</v>
      </c>
      <c r="F6" s="38" t="s">
        <v>29</v>
      </c>
      <c r="G6" s="22"/>
      <c r="H6" s="22"/>
      <c r="I6" s="22"/>
      <c r="J6" s="22"/>
      <c r="L6" s="38" t="s">
        <v>6</v>
      </c>
    </row>
    <row r="7" spans="2:14">
      <c r="C7" s="5" t="s">
        <v>8</v>
      </c>
      <c r="F7" s="38" t="s">
        <v>30</v>
      </c>
      <c r="G7" s="22"/>
      <c r="H7" s="22"/>
      <c r="I7" s="22"/>
      <c r="J7" s="22"/>
      <c r="L7" s="38" t="s">
        <v>4</v>
      </c>
    </row>
    <row r="8" spans="2:14">
      <c r="C8" s="5" t="s">
        <v>263</v>
      </c>
      <c r="F8" s="38" t="s">
        <v>31</v>
      </c>
      <c r="G8" s="22"/>
      <c r="H8" s="22"/>
      <c r="I8" s="22"/>
      <c r="J8" s="22"/>
      <c r="L8" s="38" t="s">
        <v>2</v>
      </c>
    </row>
    <row r="9" spans="2:14">
      <c r="C9" s="5" t="s">
        <v>12</v>
      </c>
    </row>
    <row r="11" spans="2:14" ht="26.25" thickBot="1">
      <c r="B11" s="19" t="s">
        <v>234</v>
      </c>
      <c r="C11" s="20"/>
      <c r="L11" s="221" t="s">
        <v>227</v>
      </c>
      <c r="M11" s="23" t="s">
        <v>59</v>
      </c>
      <c r="N11" s="23" t="s">
        <v>228</v>
      </c>
    </row>
    <row r="12" spans="2:14" ht="15" customHeight="1" thickBot="1">
      <c r="B12" s="218" t="s">
        <v>47</v>
      </c>
      <c r="C12" s="218" t="s">
        <v>48</v>
      </c>
      <c r="D12" s="218" t="s">
        <v>49</v>
      </c>
      <c r="E12" s="11" t="s">
        <v>50</v>
      </c>
      <c r="F12" s="12"/>
      <c r="G12" s="12"/>
      <c r="H12" s="13"/>
      <c r="L12" s="222"/>
      <c r="M12" s="17" t="s">
        <v>229</v>
      </c>
      <c r="N12" s="17" t="s">
        <v>229</v>
      </c>
    </row>
    <row r="13" spans="2:14" ht="15" customHeight="1" thickBot="1">
      <c r="B13" s="219"/>
      <c r="C13" s="219"/>
      <c r="D13" s="219"/>
      <c r="E13" s="11" t="s">
        <v>51</v>
      </c>
      <c r="F13" s="13"/>
      <c r="G13" s="11" t="s">
        <v>52</v>
      </c>
      <c r="H13" s="13"/>
      <c r="L13" s="223"/>
      <c r="M13" s="18" t="s">
        <v>230</v>
      </c>
      <c r="N13" s="18" t="s">
        <v>231</v>
      </c>
    </row>
    <row r="14" spans="2:14" ht="45.75" thickBot="1">
      <c r="B14" s="220"/>
      <c r="C14" s="220"/>
      <c r="D14" s="220"/>
      <c r="E14" s="10" t="s">
        <v>53</v>
      </c>
      <c r="F14" s="10" t="s">
        <v>54</v>
      </c>
      <c r="G14" s="10" t="s">
        <v>53</v>
      </c>
      <c r="H14" s="10" t="s">
        <v>54</v>
      </c>
      <c r="L14" s="24">
        <v>45320</v>
      </c>
      <c r="M14" s="25">
        <v>4.9770000000000003</v>
      </c>
      <c r="N14" s="25">
        <v>4.6006999999999998</v>
      </c>
    </row>
    <row r="15" spans="2:14">
      <c r="B15"/>
      <c r="L15" s="24">
        <v>45321</v>
      </c>
      <c r="M15" s="25">
        <v>4.9768999999999997</v>
      </c>
      <c r="N15" s="25">
        <v>4.5925000000000002</v>
      </c>
    </row>
    <row r="16" spans="2:14" ht="15.75" thickBot="1">
      <c r="B16" s="16">
        <v>0</v>
      </c>
      <c r="C16" s="26" t="s">
        <v>224</v>
      </c>
      <c r="D16" s="26">
        <v>2</v>
      </c>
      <c r="E16" s="26">
        <v>3</v>
      </c>
      <c r="F16" s="26">
        <v>4</v>
      </c>
      <c r="G16" s="26">
        <v>5</v>
      </c>
      <c r="H16" s="26">
        <v>6</v>
      </c>
      <c r="L16" s="24">
        <v>45322</v>
      </c>
      <c r="M16" s="25">
        <v>4.9759000000000002</v>
      </c>
      <c r="N16" s="25">
        <v>4.5961999999999996</v>
      </c>
    </row>
    <row r="17" spans="2:14" ht="15.75" thickBot="1">
      <c r="B17" s="16">
        <v>1</v>
      </c>
      <c r="C17" s="26" t="s">
        <v>55</v>
      </c>
      <c r="D17" s="26" t="s">
        <v>56</v>
      </c>
      <c r="E17" s="26">
        <v>120</v>
      </c>
      <c r="F17" s="26">
        <v>180</v>
      </c>
      <c r="G17" s="26">
        <v>150</v>
      </c>
      <c r="H17" s="26">
        <v>360</v>
      </c>
      <c r="L17" s="24">
        <v>45323</v>
      </c>
      <c r="M17" s="25">
        <v>4.9747000000000003</v>
      </c>
      <c r="N17" s="25">
        <v>4.6087999999999996</v>
      </c>
    </row>
    <row r="18" spans="2:14" ht="15.75" thickBot="1">
      <c r="B18" s="16">
        <v>2</v>
      </c>
      <c r="C18" s="26" t="s">
        <v>57</v>
      </c>
      <c r="D18" s="26" t="s">
        <v>56</v>
      </c>
      <c r="E18" s="26">
        <v>38</v>
      </c>
      <c r="F18" s="26">
        <v>110</v>
      </c>
      <c r="G18" s="26">
        <v>60</v>
      </c>
      <c r="H18" s="26">
        <v>220</v>
      </c>
      <c r="L18" s="24">
        <v>45324</v>
      </c>
      <c r="M18" s="25">
        <v>4.9728000000000003</v>
      </c>
      <c r="N18" s="25">
        <v>4.5697000000000001</v>
      </c>
    </row>
    <row r="19" spans="2:14" ht="15.75" thickBot="1">
      <c r="B19" s="16">
        <v>3</v>
      </c>
      <c r="C19" s="26" t="s">
        <v>58</v>
      </c>
      <c r="D19" s="26" t="s">
        <v>59</v>
      </c>
      <c r="E19" s="26">
        <v>32</v>
      </c>
      <c r="F19" s="26">
        <v>100</v>
      </c>
      <c r="G19" s="26">
        <v>51</v>
      </c>
      <c r="H19" s="26">
        <v>200</v>
      </c>
      <c r="L19" s="24">
        <v>45327</v>
      </c>
      <c r="M19" s="25">
        <v>4.9736000000000002</v>
      </c>
      <c r="N19" s="25">
        <v>4.6269999999999998</v>
      </c>
    </row>
    <row r="20" spans="2:14" ht="15.75" thickBot="1">
      <c r="B20" s="16">
        <v>4</v>
      </c>
      <c r="C20" s="26" t="s">
        <v>60</v>
      </c>
      <c r="D20" s="26" t="s">
        <v>56</v>
      </c>
      <c r="E20" s="26">
        <v>32</v>
      </c>
      <c r="F20" s="26">
        <v>150</v>
      </c>
      <c r="G20" s="26">
        <v>51</v>
      </c>
      <c r="H20" s="26">
        <v>300</v>
      </c>
      <c r="L20" s="24">
        <v>45328</v>
      </c>
      <c r="M20" s="25">
        <v>4.976</v>
      </c>
      <c r="N20" s="25">
        <v>4.6369999999999996</v>
      </c>
    </row>
    <row r="21" spans="2:14" ht="45.75" thickBot="1">
      <c r="B21" s="16">
        <v>5</v>
      </c>
      <c r="C21" s="26" t="s">
        <v>61</v>
      </c>
      <c r="D21" s="26" t="s">
        <v>59</v>
      </c>
      <c r="E21" s="26">
        <v>35</v>
      </c>
      <c r="F21" s="26">
        <v>150</v>
      </c>
      <c r="G21" s="26">
        <v>56</v>
      </c>
      <c r="H21" s="26">
        <v>300</v>
      </c>
      <c r="L21" s="15">
        <v>45329</v>
      </c>
      <c r="M21" s="14">
        <v>4.9768999999999997</v>
      </c>
      <c r="N21" s="14">
        <v>4.6227999999999998</v>
      </c>
    </row>
    <row r="22" spans="2:14" ht="15.75" thickBot="1">
      <c r="B22" s="16">
        <v>6</v>
      </c>
      <c r="C22" s="26" t="s">
        <v>62</v>
      </c>
      <c r="D22" s="26" t="s">
        <v>56</v>
      </c>
      <c r="E22" s="26">
        <v>32</v>
      </c>
      <c r="F22" s="26">
        <v>140</v>
      </c>
      <c r="G22" s="26">
        <v>51</v>
      </c>
      <c r="H22" s="26">
        <v>280</v>
      </c>
      <c r="L22" s="15">
        <v>45330</v>
      </c>
      <c r="M22" s="14">
        <v>4.9763999999999999</v>
      </c>
      <c r="N22" s="14">
        <v>4.6195000000000004</v>
      </c>
    </row>
    <row r="23" spans="2:14" ht="15.75" thickBot="1">
      <c r="B23" s="16">
        <v>7</v>
      </c>
      <c r="C23" s="26" t="s">
        <v>63</v>
      </c>
      <c r="D23" s="26" t="s">
        <v>56</v>
      </c>
      <c r="E23" s="26">
        <v>32</v>
      </c>
      <c r="F23" s="26">
        <v>100</v>
      </c>
      <c r="G23" s="26">
        <v>51</v>
      </c>
      <c r="H23" s="26">
        <v>200</v>
      </c>
      <c r="L23" s="15">
        <v>45331</v>
      </c>
      <c r="M23" s="14">
        <v>4.9770000000000003</v>
      </c>
      <c r="N23" s="14">
        <v>4.6214000000000004</v>
      </c>
    </row>
    <row r="24" spans="2:14" ht="15.75" thickBot="1">
      <c r="B24" s="16">
        <v>8</v>
      </c>
      <c r="C24" s="26" t="s">
        <v>64</v>
      </c>
      <c r="D24" s="26" t="s">
        <v>56</v>
      </c>
      <c r="E24" s="26">
        <v>32</v>
      </c>
      <c r="F24" s="26">
        <v>100</v>
      </c>
      <c r="G24" s="26">
        <v>51</v>
      </c>
      <c r="H24" s="26">
        <v>200</v>
      </c>
      <c r="L24" s="15">
        <v>45334</v>
      </c>
      <c r="M24" s="14">
        <v>4.9752999999999998</v>
      </c>
      <c r="N24" s="14">
        <v>4.617</v>
      </c>
    </row>
    <row r="25" spans="2:14" ht="15.75" thickBot="1">
      <c r="B25" s="16">
        <v>9</v>
      </c>
      <c r="C25" s="26" t="s">
        <v>65</v>
      </c>
      <c r="D25" s="26" t="s">
        <v>56</v>
      </c>
      <c r="E25" s="26">
        <v>38</v>
      </c>
      <c r="F25" s="26">
        <v>110</v>
      </c>
      <c r="G25" s="26">
        <v>60</v>
      </c>
      <c r="H25" s="26">
        <v>220</v>
      </c>
      <c r="L25" s="15">
        <v>45335</v>
      </c>
      <c r="M25" s="14">
        <v>4.9760999999999997</v>
      </c>
      <c r="N25" s="14">
        <v>4.6185999999999998</v>
      </c>
    </row>
    <row r="26" spans="2:14" ht="15.75" thickBot="1">
      <c r="B26" s="16">
        <v>10</v>
      </c>
      <c r="C26" s="26" t="s">
        <v>66</v>
      </c>
      <c r="D26" s="26" t="s">
        <v>56</v>
      </c>
      <c r="E26" s="26">
        <v>32</v>
      </c>
      <c r="F26" s="26">
        <v>110</v>
      </c>
      <c r="G26" s="26">
        <v>51</v>
      </c>
      <c r="H26" s="26">
        <v>220</v>
      </c>
      <c r="L26" s="15">
        <v>45336</v>
      </c>
      <c r="M26" s="14">
        <v>4.976</v>
      </c>
      <c r="N26" s="14">
        <v>4.6505000000000001</v>
      </c>
    </row>
    <row r="27" spans="2:14" ht="15.75" thickBot="1">
      <c r="B27" s="16">
        <v>11</v>
      </c>
      <c r="C27" s="26" t="s">
        <v>67</v>
      </c>
      <c r="D27" s="26" t="s">
        <v>56</v>
      </c>
      <c r="E27" s="26">
        <v>38</v>
      </c>
      <c r="F27" s="26">
        <v>140</v>
      </c>
      <c r="G27" s="26">
        <v>60</v>
      </c>
      <c r="H27" s="26">
        <v>280</v>
      </c>
      <c r="L27" s="15">
        <v>45337</v>
      </c>
      <c r="M27" s="14">
        <v>4.9767000000000001</v>
      </c>
      <c r="N27" s="14">
        <v>4.6364000000000001</v>
      </c>
    </row>
    <row r="28" spans="2:14" ht="15.75" thickBot="1">
      <c r="B28" s="16">
        <v>12</v>
      </c>
      <c r="C28" s="26" t="s">
        <v>68</v>
      </c>
      <c r="D28" s="26" t="s">
        <v>56</v>
      </c>
      <c r="E28" s="26">
        <v>38</v>
      </c>
      <c r="F28" s="26">
        <v>160</v>
      </c>
      <c r="G28" s="26">
        <v>60</v>
      </c>
      <c r="H28" s="26">
        <v>320</v>
      </c>
      <c r="L28" s="15">
        <v>45338</v>
      </c>
      <c r="M28" s="14">
        <v>4.9770000000000003</v>
      </c>
      <c r="N28" s="14">
        <v>4.6207000000000003</v>
      </c>
    </row>
    <row r="29" spans="2:14" ht="15.75" thickBot="1">
      <c r="B29" s="16">
        <v>13</v>
      </c>
      <c r="C29" s="26" t="s">
        <v>69</v>
      </c>
      <c r="D29" s="26" t="s">
        <v>59</v>
      </c>
      <c r="E29" s="26">
        <v>35</v>
      </c>
      <c r="F29" s="26">
        <v>150</v>
      </c>
      <c r="G29" s="26">
        <v>56</v>
      </c>
      <c r="H29" s="26">
        <v>300</v>
      </c>
      <c r="L29" s="15">
        <v>45341</v>
      </c>
      <c r="M29" s="14">
        <v>4.9772999999999996</v>
      </c>
      <c r="N29" s="14">
        <v>4.6189</v>
      </c>
    </row>
    <row r="30" spans="2:14" ht="15.75" thickBot="1">
      <c r="B30" s="16">
        <v>14</v>
      </c>
      <c r="C30" s="26" t="s">
        <v>70</v>
      </c>
      <c r="D30" s="26" t="s">
        <v>56</v>
      </c>
      <c r="E30" s="26">
        <v>38</v>
      </c>
      <c r="F30" s="26">
        <v>120</v>
      </c>
      <c r="G30" s="26">
        <v>60</v>
      </c>
      <c r="H30" s="26">
        <v>240</v>
      </c>
      <c r="L30" s="15">
        <v>45342</v>
      </c>
      <c r="M30" s="14">
        <v>4.9771000000000001</v>
      </c>
      <c r="N30" s="14">
        <v>4.6069000000000004</v>
      </c>
    </row>
    <row r="31" spans="2:14" ht="15.75" thickBot="1">
      <c r="B31" s="16">
        <v>15</v>
      </c>
      <c r="C31" s="26" t="s">
        <v>71</v>
      </c>
      <c r="D31" s="26" t="s">
        <v>56</v>
      </c>
      <c r="E31" s="26">
        <v>32</v>
      </c>
      <c r="F31" s="26">
        <v>100</v>
      </c>
      <c r="G31" s="26">
        <v>51</v>
      </c>
      <c r="H31" s="26">
        <v>200</v>
      </c>
      <c r="L31" s="15">
        <v>45343</v>
      </c>
      <c r="M31" s="14">
        <v>4.9759000000000002</v>
      </c>
      <c r="N31" s="14">
        <v>4.6073000000000004</v>
      </c>
    </row>
    <row r="32" spans="2:14" ht="15.75" thickBot="1">
      <c r="B32" s="16">
        <v>16</v>
      </c>
      <c r="C32" s="26" t="s">
        <v>72</v>
      </c>
      <c r="D32" s="26" t="s">
        <v>56</v>
      </c>
      <c r="E32" s="26">
        <v>32</v>
      </c>
      <c r="F32" s="26">
        <v>100</v>
      </c>
      <c r="G32" s="26">
        <v>51</v>
      </c>
      <c r="H32" s="26">
        <v>200</v>
      </c>
      <c r="L32" s="15">
        <v>45344</v>
      </c>
      <c r="M32" s="14">
        <v>4.9768999999999997</v>
      </c>
      <c r="N32" s="14">
        <v>4.5842999999999998</v>
      </c>
    </row>
    <row r="33" spans="2:14" ht="15.75" thickBot="1">
      <c r="B33" s="16">
        <v>17</v>
      </c>
      <c r="C33" s="26" t="s">
        <v>73</v>
      </c>
      <c r="D33" s="26" t="s">
        <v>56</v>
      </c>
      <c r="E33" s="26">
        <v>32</v>
      </c>
      <c r="F33" s="26">
        <v>100</v>
      </c>
      <c r="G33" s="26">
        <v>51</v>
      </c>
      <c r="H33" s="26">
        <v>200</v>
      </c>
      <c r="L33" s="15">
        <v>45345</v>
      </c>
      <c r="M33" s="14">
        <v>4.9752999999999998</v>
      </c>
      <c r="N33" s="14">
        <v>4.5970000000000004</v>
      </c>
    </row>
    <row r="34" spans="2:14" ht="15.75" thickBot="1">
      <c r="B34" s="16">
        <v>18</v>
      </c>
      <c r="C34" s="26" t="s">
        <v>74</v>
      </c>
      <c r="D34" s="26" t="s">
        <v>56</v>
      </c>
      <c r="E34" s="26">
        <v>38</v>
      </c>
      <c r="F34" s="26">
        <v>110</v>
      </c>
      <c r="G34" s="26">
        <v>60</v>
      </c>
      <c r="H34" s="26">
        <v>220</v>
      </c>
      <c r="L34" s="15">
        <v>45348</v>
      </c>
      <c r="M34" s="14">
        <v>4.9730999999999996</v>
      </c>
      <c r="N34" s="14">
        <v>4.5842999999999998</v>
      </c>
    </row>
    <row r="35" spans="2:14" ht="15.75" thickBot="1">
      <c r="B35" s="16">
        <v>19</v>
      </c>
      <c r="C35" s="26" t="s">
        <v>75</v>
      </c>
      <c r="D35" s="26" t="s">
        <v>59</v>
      </c>
      <c r="E35" s="26">
        <v>35</v>
      </c>
      <c r="F35" s="26">
        <v>150</v>
      </c>
      <c r="G35" s="26">
        <v>56</v>
      </c>
      <c r="H35" s="26">
        <v>300</v>
      </c>
      <c r="L35" s="15">
        <v>45349</v>
      </c>
      <c r="M35" s="14">
        <v>4.9686000000000003</v>
      </c>
      <c r="N35" s="14">
        <v>4.5785</v>
      </c>
    </row>
    <row r="36" spans="2:14" ht="15.75" thickBot="1">
      <c r="B36" s="16">
        <v>20</v>
      </c>
      <c r="C36" s="26" t="s">
        <v>76</v>
      </c>
      <c r="D36" s="26" t="s">
        <v>56</v>
      </c>
      <c r="E36" s="26">
        <v>32</v>
      </c>
      <c r="F36" s="26">
        <v>100</v>
      </c>
      <c r="G36" s="26">
        <v>51</v>
      </c>
      <c r="H36" s="26">
        <v>200</v>
      </c>
      <c r="L36" s="15">
        <v>45350</v>
      </c>
      <c r="M36" s="14">
        <v>4.97</v>
      </c>
      <c r="N36" s="14">
        <v>4.5955000000000004</v>
      </c>
    </row>
    <row r="37" spans="2:14" ht="15.75" thickBot="1">
      <c r="B37" s="16">
        <v>21</v>
      </c>
      <c r="C37" s="26" t="s">
        <v>77</v>
      </c>
      <c r="D37" s="26" t="s">
        <v>56</v>
      </c>
      <c r="E37" s="26">
        <v>32</v>
      </c>
      <c r="F37" s="26">
        <v>100</v>
      </c>
      <c r="G37" s="26">
        <v>51</v>
      </c>
      <c r="H37" s="26">
        <v>200</v>
      </c>
      <c r="L37" s="15">
        <v>45351</v>
      </c>
      <c r="M37" s="14">
        <v>4.9690000000000003</v>
      </c>
      <c r="N37" s="14">
        <v>4.5823</v>
      </c>
    </row>
    <row r="38" spans="2:14" ht="15.75" thickBot="1">
      <c r="B38" s="16">
        <v>22</v>
      </c>
      <c r="C38" s="26" t="s">
        <v>78</v>
      </c>
      <c r="D38" s="26" t="s">
        <v>56</v>
      </c>
      <c r="E38" s="26">
        <v>32</v>
      </c>
      <c r="F38" s="26">
        <v>120</v>
      </c>
      <c r="G38" s="26">
        <v>51</v>
      </c>
      <c r="H38" s="26">
        <v>240</v>
      </c>
      <c r="L38" s="15">
        <v>45352</v>
      </c>
      <c r="M38" s="14">
        <v>4.9699</v>
      </c>
      <c r="N38" s="14">
        <v>4.5983999999999998</v>
      </c>
    </row>
    <row r="39" spans="2:14" ht="15.75" thickBot="1">
      <c r="B39" s="16">
        <v>23</v>
      </c>
      <c r="C39" s="26" t="s">
        <v>80</v>
      </c>
      <c r="D39" s="26" t="s">
        <v>59</v>
      </c>
      <c r="E39" s="26">
        <v>32</v>
      </c>
      <c r="F39" s="26">
        <v>100</v>
      </c>
      <c r="G39" s="26">
        <v>51</v>
      </c>
      <c r="H39" s="26">
        <v>200</v>
      </c>
      <c r="L39" s="15">
        <v>45355</v>
      </c>
      <c r="M39" s="14">
        <v>4.9698000000000002</v>
      </c>
      <c r="N39" s="14">
        <v>4.5788000000000002</v>
      </c>
    </row>
    <row r="40" spans="2:14" ht="15.75" thickBot="1">
      <c r="B40" s="16">
        <v>24</v>
      </c>
      <c r="C40" s="26" t="s">
        <v>79</v>
      </c>
      <c r="D40" s="26" t="s">
        <v>56</v>
      </c>
      <c r="E40" s="26">
        <v>32</v>
      </c>
      <c r="F40" s="26">
        <v>100</v>
      </c>
      <c r="G40" s="26">
        <v>51</v>
      </c>
      <c r="H40" s="26">
        <v>200</v>
      </c>
      <c r="L40" s="15">
        <v>45356</v>
      </c>
      <c r="M40" s="14">
        <v>4.9718999999999998</v>
      </c>
      <c r="N40" s="14">
        <v>4.5819999999999999</v>
      </c>
    </row>
    <row r="41" spans="2:14" ht="15.75" thickBot="1">
      <c r="B41" s="16">
        <v>25</v>
      </c>
      <c r="C41" s="26" t="s">
        <v>81</v>
      </c>
      <c r="D41" s="26" t="s">
        <v>56</v>
      </c>
      <c r="E41" s="26">
        <v>32</v>
      </c>
      <c r="F41" s="26">
        <v>120</v>
      </c>
      <c r="G41" s="26">
        <v>51</v>
      </c>
      <c r="H41" s="26">
        <v>240</v>
      </c>
      <c r="L41" s="15">
        <v>45357</v>
      </c>
      <c r="M41" s="14">
        <v>4.9718</v>
      </c>
      <c r="N41" s="14">
        <v>4.5712999999999999</v>
      </c>
    </row>
    <row r="42" spans="2:14" ht="15.75" thickBot="1">
      <c r="B42" s="16">
        <v>26</v>
      </c>
      <c r="C42" s="26" t="s">
        <v>82</v>
      </c>
      <c r="D42" s="26" t="s">
        <v>59</v>
      </c>
      <c r="E42" s="26">
        <v>32</v>
      </c>
      <c r="F42" s="26">
        <v>100</v>
      </c>
      <c r="G42" s="26">
        <v>51</v>
      </c>
      <c r="H42" s="26">
        <v>200</v>
      </c>
      <c r="L42" s="15">
        <v>45358</v>
      </c>
      <c r="M42" s="14">
        <v>4.9706999999999999</v>
      </c>
      <c r="N42" s="14">
        <v>4.5632000000000001</v>
      </c>
    </row>
    <row r="43" spans="2:14" ht="15.75" thickBot="1">
      <c r="B43" s="16">
        <v>27</v>
      </c>
      <c r="C43" s="26" t="s">
        <v>83</v>
      </c>
      <c r="D43" s="26" t="s">
        <v>56</v>
      </c>
      <c r="E43" s="26">
        <v>32</v>
      </c>
      <c r="F43" s="26">
        <v>100</v>
      </c>
      <c r="G43" s="26">
        <v>51</v>
      </c>
      <c r="H43" s="26">
        <v>200</v>
      </c>
      <c r="L43" s="15">
        <v>45359</v>
      </c>
      <c r="M43" s="14">
        <v>4.9691000000000001</v>
      </c>
      <c r="N43" s="14">
        <v>4.5462999999999996</v>
      </c>
    </row>
    <row r="44" spans="2:14" ht="15.75" thickBot="1">
      <c r="B44" s="16">
        <v>28</v>
      </c>
      <c r="C44" s="26" t="s">
        <v>84</v>
      </c>
      <c r="D44" s="26" t="s">
        <v>56</v>
      </c>
      <c r="E44" s="26">
        <v>32</v>
      </c>
      <c r="F44" s="26">
        <v>120</v>
      </c>
      <c r="G44" s="26">
        <v>51</v>
      </c>
      <c r="H44" s="26">
        <v>240</v>
      </c>
      <c r="L44" s="15">
        <v>45362</v>
      </c>
      <c r="M44" s="14">
        <v>4.9671000000000003</v>
      </c>
      <c r="N44" s="14">
        <v>4.5396999999999998</v>
      </c>
    </row>
    <row r="45" spans="2:14" ht="15.75" thickBot="1">
      <c r="B45" s="16">
        <v>29</v>
      </c>
      <c r="C45" s="26" t="s">
        <v>85</v>
      </c>
      <c r="D45" s="26" t="s">
        <v>56</v>
      </c>
      <c r="E45" s="26">
        <v>32</v>
      </c>
      <c r="F45" s="26">
        <v>100</v>
      </c>
      <c r="G45" s="26">
        <v>51</v>
      </c>
      <c r="H45" s="26">
        <v>200</v>
      </c>
      <c r="L45" s="15">
        <v>45363</v>
      </c>
      <c r="M45" s="14">
        <v>4.9664999999999999</v>
      </c>
      <c r="N45" s="14">
        <v>4.5427</v>
      </c>
    </row>
    <row r="46" spans="2:14" ht="15.75" thickBot="1">
      <c r="B46" s="16">
        <v>30</v>
      </c>
      <c r="C46" s="26" t="s">
        <v>86</v>
      </c>
      <c r="D46" s="26" t="s">
        <v>56</v>
      </c>
      <c r="E46" s="26">
        <v>32</v>
      </c>
      <c r="F46" s="26">
        <v>100</v>
      </c>
      <c r="G46" s="26">
        <v>51</v>
      </c>
      <c r="H46" s="26">
        <v>200</v>
      </c>
      <c r="L46" s="15">
        <v>45364</v>
      </c>
      <c r="M46" s="14">
        <v>4.9675000000000002</v>
      </c>
      <c r="N46" s="14">
        <v>4.5439999999999996</v>
      </c>
    </row>
    <row r="47" spans="2:14" ht="15.75" thickBot="1">
      <c r="B47" s="16">
        <v>31</v>
      </c>
      <c r="C47" s="26" t="s">
        <v>87</v>
      </c>
      <c r="D47" s="26" t="s">
        <v>56</v>
      </c>
      <c r="E47" s="26">
        <v>38</v>
      </c>
      <c r="F47" s="26">
        <v>150</v>
      </c>
      <c r="G47" s="26">
        <v>60</v>
      </c>
      <c r="H47" s="26">
        <v>300</v>
      </c>
      <c r="L47" s="15">
        <v>45365</v>
      </c>
      <c r="M47" s="14">
        <v>4.9711999999999996</v>
      </c>
      <c r="N47" s="14">
        <v>4.5441000000000003</v>
      </c>
    </row>
    <row r="48" spans="2:14" ht="15.75" thickBot="1">
      <c r="B48" s="16">
        <v>32</v>
      </c>
      <c r="C48" s="26" t="s">
        <v>88</v>
      </c>
      <c r="D48" s="26" t="s">
        <v>56</v>
      </c>
      <c r="E48" s="26">
        <v>32</v>
      </c>
      <c r="F48" s="26">
        <v>100</v>
      </c>
      <c r="G48" s="26">
        <v>51</v>
      </c>
      <c r="H48" s="26">
        <v>200</v>
      </c>
    </row>
    <row r="49" spans="2:8" ht="15.75" thickBot="1">
      <c r="B49" s="16">
        <v>33</v>
      </c>
      <c r="C49" s="26" t="s">
        <v>89</v>
      </c>
      <c r="D49" s="26" t="s">
        <v>59</v>
      </c>
      <c r="E49" s="26">
        <v>35</v>
      </c>
      <c r="F49" s="26">
        <v>150</v>
      </c>
      <c r="G49" s="26">
        <v>56</v>
      </c>
      <c r="H49" s="26">
        <v>300</v>
      </c>
    </row>
    <row r="50" spans="2:8" ht="15.75" thickBot="1">
      <c r="B50" s="16">
        <v>34</v>
      </c>
      <c r="C50" s="26" t="s">
        <v>90</v>
      </c>
      <c r="D50" s="26" t="s">
        <v>56</v>
      </c>
      <c r="E50" s="26">
        <v>32</v>
      </c>
      <c r="F50" s="26">
        <v>100</v>
      </c>
      <c r="G50" s="26">
        <v>51</v>
      </c>
      <c r="H50" s="26">
        <v>200</v>
      </c>
    </row>
    <row r="51" spans="2:8" ht="15.75" thickBot="1">
      <c r="B51" s="16">
        <v>35</v>
      </c>
      <c r="C51" s="26" t="s">
        <v>91</v>
      </c>
      <c r="D51" s="26" t="s">
        <v>56</v>
      </c>
      <c r="E51" s="26">
        <v>32</v>
      </c>
      <c r="F51" s="26">
        <v>120</v>
      </c>
      <c r="G51" s="26">
        <v>51</v>
      </c>
      <c r="H51" s="26">
        <v>240</v>
      </c>
    </row>
    <row r="52" spans="2:8" ht="30.75" thickBot="1">
      <c r="B52" s="16">
        <v>36</v>
      </c>
      <c r="C52" s="26" t="s">
        <v>92</v>
      </c>
      <c r="D52" s="26" t="s">
        <v>56</v>
      </c>
      <c r="E52" s="26">
        <v>38</v>
      </c>
      <c r="F52" s="26">
        <v>140</v>
      </c>
      <c r="G52" s="26">
        <v>60</v>
      </c>
      <c r="H52" s="26">
        <v>280</v>
      </c>
    </row>
    <row r="53" spans="2:8" ht="15.75" thickBot="1">
      <c r="B53" s="16">
        <v>37</v>
      </c>
      <c r="C53" s="26" t="s">
        <v>93</v>
      </c>
      <c r="D53" s="26" t="s">
        <v>56</v>
      </c>
      <c r="E53" s="26">
        <v>32</v>
      </c>
      <c r="F53" s="26">
        <v>100</v>
      </c>
      <c r="G53" s="26">
        <v>51</v>
      </c>
      <c r="H53" s="26">
        <v>200</v>
      </c>
    </row>
    <row r="54" spans="2:8" ht="15.75" thickBot="1">
      <c r="B54" s="16">
        <v>38</v>
      </c>
      <c r="C54" s="26" t="s">
        <v>94</v>
      </c>
      <c r="D54" s="26" t="s">
        <v>59</v>
      </c>
      <c r="E54" s="26">
        <v>35</v>
      </c>
      <c r="F54" s="26">
        <v>150</v>
      </c>
      <c r="G54" s="26">
        <v>56</v>
      </c>
      <c r="H54" s="26">
        <v>300</v>
      </c>
    </row>
    <row r="55" spans="2:8" ht="15.75" thickBot="1">
      <c r="B55" s="16">
        <v>39</v>
      </c>
      <c r="C55" s="26" t="s">
        <v>95</v>
      </c>
      <c r="D55" s="26" t="s">
        <v>56</v>
      </c>
      <c r="E55" s="26">
        <v>32</v>
      </c>
      <c r="F55" s="26">
        <v>100</v>
      </c>
      <c r="G55" s="26">
        <v>51</v>
      </c>
      <c r="H55" s="26">
        <v>200</v>
      </c>
    </row>
    <row r="56" spans="2:8" ht="15.75" thickBot="1">
      <c r="B56" s="16">
        <v>40</v>
      </c>
      <c r="C56" s="26" t="s">
        <v>96</v>
      </c>
      <c r="D56" s="26" t="s">
        <v>56</v>
      </c>
      <c r="E56" s="26">
        <v>32</v>
      </c>
      <c r="F56" s="26">
        <v>100</v>
      </c>
      <c r="G56" s="26">
        <v>51</v>
      </c>
      <c r="H56" s="26">
        <v>200</v>
      </c>
    </row>
    <row r="57" spans="2:8" ht="15.75" thickBot="1">
      <c r="B57" s="16">
        <v>41</v>
      </c>
      <c r="C57" s="26" t="s">
        <v>97</v>
      </c>
      <c r="D57" s="26" t="s">
        <v>56</v>
      </c>
      <c r="E57" s="26">
        <v>32</v>
      </c>
      <c r="F57" s="26">
        <v>100</v>
      </c>
      <c r="G57" s="26">
        <v>51</v>
      </c>
      <c r="H57" s="26">
        <v>200</v>
      </c>
    </row>
    <row r="58" spans="2:8" ht="15.75" thickBot="1">
      <c r="B58" s="16">
        <v>42</v>
      </c>
      <c r="C58" s="26" t="s">
        <v>99</v>
      </c>
      <c r="D58" s="26" t="s">
        <v>59</v>
      </c>
      <c r="E58" s="26">
        <v>30</v>
      </c>
      <c r="F58" s="26">
        <v>120</v>
      </c>
      <c r="G58" s="26">
        <v>48</v>
      </c>
      <c r="H58" s="26">
        <v>240</v>
      </c>
    </row>
    <row r="59" spans="2:8" ht="15.75" thickBot="1">
      <c r="B59" s="16">
        <v>43</v>
      </c>
      <c r="C59" s="26" t="s">
        <v>98</v>
      </c>
      <c r="D59" s="26" t="s">
        <v>56</v>
      </c>
      <c r="E59" s="26">
        <v>38</v>
      </c>
      <c r="F59" s="26">
        <v>180</v>
      </c>
      <c r="G59" s="26">
        <v>60</v>
      </c>
      <c r="H59" s="26">
        <v>360</v>
      </c>
    </row>
    <row r="60" spans="2:8" ht="15.75" thickBot="1">
      <c r="B60" s="16">
        <v>44</v>
      </c>
      <c r="C60" s="26" t="s">
        <v>100</v>
      </c>
      <c r="D60" s="26" t="s">
        <v>56</v>
      </c>
      <c r="E60" s="26">
        <v>32</v>
      </c>
      <c r="F60" s="26">
        <v>110</v>
      </c>
      <c r="G60" s="26">
        <v>51</v>
      </c>
      <c r="H60" s="26">
        <v>220</v>
      </c>
    </row>
    <row r="61" spans="2:8" ht="15.75" thickBot="1">
      <c r="B61" s="16">
        <v>45</v>
      </c>
      <c r="C61" s="26" t="s">
        <v>101</v>
      </c>
      <c r="D61" s="26" t="s">
        <v>59</v>
      </c>
      <c r="E61" s="26">
        <v>32</v>
      </c>
      <c r="F61" s="26">
        <v>100</v>
      </c>
      <c r="G61" s="26">
        <v>51</v>
      </c>
      <c r="H61" s="26">
        <v>200</v>
      </c>
    </row>
    <row r="62" spans="2:8" ht="15.75" thickBot="1">
      <c r="B62" s="16">
        <v>46</v>
      </c>
      <c r="C62" s="26" t="s">
        <v>102</v>
      </c>
      <c r="D62" s="26" t="s">
        <v>59</v>
      </c>
      <c r="E62" s="26">
        <v>32</v>
      </c>
      <c r="F62" s="26">
        <v>120</v>
      </c>
      <c r="G62" s="26">
        <v>51</v>
      </c>
      <c r="H62" s="26">
        <v>240</v>
      </c>
    </row>
    <row r="63" spans="2:8" ht="15.75" thickBot="1">
      <c r="B63" s="16">
        <v>47</v>
      </c>
      <c r="C63" s="26" t="s">
        <v>103</v>
      </c>
      <c r="D63" s="26" t="s">
        <v>59</v>
      </c>
      <c r="E63" s="26">
        <v>35</v>
      </c>
      <c r="F63" s="26">
        <v>150</v>
      </c>
      <c r="G63" s="26">
        <v>56</v>
      </c>
      <c r="H63" s="26">
        <v>300</v>
      </c>
    </row>
    <row r="64" spans="2:8" ht="15.75" thickBot="1">
      <c r="B64" s="16">
        <v>48</v>
      </c>
      <c r="C64" s="26" t="s">
        <v>104</v>
      </c>
      <c r="D64" s="26" t="s">
        <v>56</v>
      </c>
      <c r="E64" s="26">
        <v>32</v>
      </c>
      <c r="F64" s="26">
        <v>100</v>
      </c>
      <c r="G64" s="26">
        <v>51</v>
      </c>
      <c r="H64" s="26">
        <v>200</v>
      </c>
    </row>
    <row r="65" spans="2:8" ht="15.75" thickBot="1">
      <c r="B65" s="16">
        <v>49</v>
      </c>
      <c r="C65" s="26" t="s">
        <v>105</v>
      </c>
      <c r="D65" s="26" t="s">
        <v>56</v>
      </c>
      <c r="E65" s="26">
        <v>32</v>
      </c>
      <c r="F65" s="26">
        <v>110</v>
      </c>
      <c r="G65" s="26">
        <v>51</v>
      </c>
      <c r="H65" s="26">
        <v>220</v>
      </c>
    </row>
    <row r="66" spans="2:8" ht="15.75" thickBot="1">
      <c r="B66" s="16">
        <v>50</v>
      </c>
      <c r="C66" s="26" t="s">
        <v>106</v>
      </c>
      <c r="D66" s="26" t="s">
        <v>56</v>
      </c>
      <c r="E66" s="26">
        <v>32</v>
      </c>
      <c r="F66" s="26">
        <v>110</v>
      </c>
      <c r="G66" s="26">
        <v>51</v>
      </c>
      <c r="H66" s="26">
        <v>220</v>
      </c>
    </row>
    <row r="67" spans="2:8" ht="15.75" thickBot="1">
      <c r="B67" s="16">
        <v>51</v>
      </c>
      <c r="C67" s="26" t="s">
        <v>107</v>
      </c>
      <c r="D67" s="26" t="s">
        <v>56</v>
      </c>
      <c r="E67" s="26">
        <v>32</v>
      </c>
      <c r="F67" s="26">
        <v>100</v>
      </c>
      <c r="G67" s="26">
        <v>51</v>
      </c>
      <c r="H67" s="26">
        <v>200</v>
      </c>
    </row>
    <row r="68" spans="2:8" ht="15.75" thickBot="1">
      <c r="B68" s="16">
        <v>52</v>
      </c>
      <c r="C68" s="26" t="s">
        <v>108</v>
      </c>
      <c r="D68" s="26" t="s">
        <v>59</v>
      </c>
      <c r="E68" s="26">
        <v>38</v>
      </c>
      <c r="F68" s="26">
        <v>150</v>
      </c>
      <c r="G68" s="26">
        <v>60</v>
      </c>
      <c r="H68" s="26">
        <v>300</v>
      </c>
    </row>
    <row r="69" spans="2:8" ht="15.75" thickBot="1">
      <c r="B69" s="16">
        <v>53</v>
      </c>
      <c r="C69" s="26" t="s">
        <v>109</v>
      </c>
      <c r="D69" s="26" t="s">
        <v>56</v>
      </c>
      <c r="E69" s="26">
        <v>38</v>
      </c>
      <c r="F69" s="26">
        <v>100</v>
      </c>
      <c r="G69" s="26">
        <v>60</v>
      </c>
      <c r="H69" s="26">
        <v>200</v>
      </c>
    </row>
    <row r="70" spans="2:8" ht="15.75" thickBot="1">
      <c r="B70" s="16">
        <v>54</v>
      </c>
      <c r="C70" s="26" t="s">
        <v>110</v>
      </c>
      <c r="D70" s="26" t="s">
        <v>59</v>
      </c>
      <c r="E70" s="26">
        <v>35</v>
      </c>
      <c r="F70" s="26">
        <v>150</v>
      </c>
      <c r="G70" s="26">
        <v>56</v>
      </c>
      <c r="H70" s="26">
        <v>300</v>
      </c>
    </row>
    <row r="71" spans="2:8" ht="15.75" thickBot="1">
      <c r="B71" s="16">
        <v>55</v>
      </c>
      <c r="C71" s="26" t="s">
        <v>111</v>
      </c>
      <c r="D71" s="26" t="s">
        <v>56</v>
      </c>
      <c r="E71" s="26">
        <v>32</v>
      </c>
      <c r="F71" s="26">
        <v>110</v>
      </c>
      <c r="G71" s="26">
        <v>51</v>
      </c>
      <c r="H71" s="26">
        <v>220</v>
      </c>
    </row>
    <row r="72" spans="2:8" ht="15.75" thickBot="1">
      <c r="B72" s="16">
        <v>56</v>
      </c>
      <c r="C72" s="26" t="s">
        <v>185</v>
      </c>
      <c r="D72" s="26" t="s">
        <v>56</v>
      </c>
      <c r="E72" s="26">
        <v>47</v>
      </c>
      <c r="F72" s="26">
        <v>140</v>
      </c>
      <c r="G72" s="26">
        <v>75</v>
      </c>
      <c r="H72" s="26">
        <v>280</v>
      </c>
    </row>
    <row r="73" spans="2:8" ht="15.75" thickBot="1">
      <c r="B73" s="16">
        <v>57</v>
      </c>
      <c r="C73" s="26" t="s">
        <v>112</v>
      </c>
      <c r="D73" s="26" t="s">
        <v>56</v>
      </c>
      <c r="E73" s="26">
        <v>38</v>
      </c>
      <c r="F73" s="26">
        <v>120</v>
      </c>
      <c r="G73" s="26">
        <v>60</v>
      </c>
      <c r="H73" s="26">
        <v>240</v>
      </c>
    </row>
    <row r="74" spans="2:8" ht="15.75" thickBot="1">
      <c r="B74" s="16">
        <v>58</v>
      </c>
      <c r="C74" s="26" t="s">
        <v>113</v>
      </c>
      <c r="D74" s="26" t="s">
        <v>56</v>
      </c>
      <c r="E74" s="26">
        <v>32</v>
      </c>
      <c r="F74" s="26">
        <v>100</v>
      </c>
      <c r="G74" s="26">
        <v>51</v>
      </c>
      <c r="H74" s="26">
        <v>200</v>
      </c>
    </row>
    <row r="75" spans="2:8" ht="15.75" thickBot="1">
      <c r="B75" s="16">
        <v>59</v>
      </c>
      <c r="C75" s="26" t="s">
        <v>114</v>
      </c>
      <c r="D75" s="26" t="s">
        <v>59</v>
      </c>
      <c r="E75" s="26">
        <v>35</v>
      </c>
      <c r="F75" s="26">
        <v>150</v>
      </c>
      <c r="G75" s="26">
        <v>56</v>
      </c>
      <c r="H75" s="26">
        <v>300</v>
      </c>
    </row>
    <row r="76" spans="2:8" ht="15.75" thickBot="1">
      <c r="B76" s="16">
        <v>60</v>
      </c>
      <c r="C76" s="26" t="s">
        <v>115</v>
      </c>
      <c r="D76" s="26" t="s">
        <v>59</v>
      </c>
      <c r="E76" s="26">
        <v>35</v>
      </c>
      <c r="F76" s="26">
        <v>150</v>
      </c>
      <c r="G76" s="26">
        <v>56</v>
      </c>
      <c r="H76" s="26">
        <v>300</v>
      </c>
    </row>
    <row r="77" spans="2:8" ht="15.75" thickBot="1">
      <c r="B77" s="16">
        <v>61</v>
      </c>
      <c r="C77" s="26" t="s">
        <v>116</v>
      </c>
      <c r="D77" s="26" t="s">
        <v>56</v>
      </c>
      <c r="E77" s="26">
        <v>32</v>
      </c>
      <c r="F77" s="26">
        <v>100</v>
      </c>
      <c r="G77" s="26">
        <v>51</v>
      </c>
      <c r="H77" s="26">
        <v>200</v>
      </c>
    </row>
    <row r="78" spans="2:8" ht="15.75" thickBot="1">
      <c r="B78" s="16">
        <v>62</v>
      </c>
      <c r="C78" s="26" t="s">
        <v>117</v>
      </c>
      <c r="D78" s="26" t="s">
        <v>56</v>
      </c>
      <c r="E78" s="26">
        <v>32</v>
      </c>
      <c r="F78" s="26">
        <v>100</v>
      </c>
      <c r="G78" s="26">
        <v>51</v>
      </c>
      <c r="H78" s="26">
        <v>200</v>
      </c>
    </row>
    <row r="79" spans="2:8" ht="15.75" thickBot="1">
      <c r="B79" s="16">
        <v>63</v>
      </c>
      <c r="C79" s="26" t="s">
        <v>118</v>
      </c>
      <c r="D79" s="26" t="s">
        <v>56</v>
      </c>
      <c r="E79" s="26">
        <v>38</v>
      </c>
      <c r="F79" s="26">
        <v>160</v>
      </c>
      <c r="G79" s="26">
        <v>60</v>
      </c>
      <c r="H79" s="26">
        <v>320</v>
      </c>
    </row>
    <row r="80" spans="2:8" ht="15.75" thickBot="1">
      <c r="B80" s="16">
        <v>64</v>
      </c>
      <c r="C80" s="26" t="s">
        <v>119</v>
      </c>
      <c r="D80" s="26" t="s">
        <v>59</v>
      </c>
      <c r="E80" s="26">
        <v>35</v>
      </c>
      <c r="F80" s="26">
        <v>150</v>
      </c>
      <c r="G80" s="26">
        <v>56</v>
      </c>
      <c r="H80" s="26">
        <v>300</v>
      </c>
    </row>
    <row r="81" spans="2:8" ht="15.75" thickBot="1">
      <c r="B81" s="16">
        <v>65</v>
      </c>
      <c r="C81" s="26" t="s">
        <v>120</v>
      </c>
      <c r="D81" s="26" t="s">
        <v>56</v>
      </c>
      <c r="E81" s="26">
        <v>32</v>
      </c>
      <c r="F81" s="26">
        <v>100</v>
      </c>
      <c r="G81" s="26">
        <v>51</v>
      </c>
      <c r="H81" s="26">
        <v>200</v>
      </c>
    </row>
    <row r="82" spans="2:8" ht="15.75" thickBot="1">
      <c r="B82" s="16">
        <v>66</v>
      </c>
      <c r="C82" s="26" t="s">
        <v>121</v>
      </c>
      <c r="D82" s="26" t="s">
        <v>59</v>
      </c>
      <c r="E82" s="26">
        <v>35</v>
      </c>
      <c r="F82" s="26">
        <v>150</v>
      </c>
      <c r="G82" s="26">
        <v>56</v>
      </c>
      <c r="H82" s="26">
        <v>300</v>
      </c>
    </row>
    <row r="83" spans="2:8" ht="15.75" thickBot="1">
      <c r="B83" s="16">
        <v>67</v>
      </c>
      <c r="C83" s="26" t="s">
        <v>122</v>
      </c>
      <c r="D83" s="26" t="s">
        <v>56</v>
      </c>
      <c r="E83" s="26">
        <v>32</v>
      </c>
      <c r="F83" s="26">
        <v>100</v>
      </c>
      <c r="G83" s="26">
        <v>51</v>
      </c>
      <c r="H83" s="26">
        <v>200</v>
      </c>
    </row>
    <row r="84" spans="2:8" ht="15.75" thickBot="1">
      <c r="B84" s="16">
        <v>68</v>
      </c>
      <c r="C84" s="26" t="s">
        <v>123</v>
      </c>
      <c r="D84" s="26" t="s">
        <v>56</v>
      </c>
      <c r="E84" s="26">
        <v>32</v>
      </c>
      <c r="F84" s="26">
        <v>100</v>
      </c>
      <c r="G84" s="26">
        <v>51</v>
      </c>
      <c r="H84" s="26">
        <v>200</v>
      </c>
    </row>
    <row r="85" spans="2:8" ht="15.75" thickBot="1">
      <c r="B85" s="16">
        <v>69</v>
      </c>
      <c r="C85" s="26" t="s">
        <v>125</v>
      </c>
      <c r="D85" s="26" t="s">
        <v>56</v>
      </c>
      <c r="E85" s="26">
        <v>32</v>
      </c>
      <c r="F85" s="26">
        <v>100</v>
      </c>
      <c r="G85" s="26">
        <v>51</v>
      </c>
      <c r="H85" s="26">
        <v>200</v>
      </c>
    </row>
    <row r="86" spans="2:8" ht="15.75" thickBot="1">
      <c r="B86" s="16">
        <v>70</v>
      </c>
      <c r="C86" s="26" t="s">
        <v>124</v>
      </c>
      <c r="D86" s="26" t="s">
        <v>56</v>
      </c>
      <c r="E86" s="26">
        <v>32</v>
      </c>
      <c r="F86" s="26">
        <v>100</v>
      </c>
      <c r="G86" s="26">
        <v>51</v>
      </c>
      <c r="H86" s="26">
        <v>200</v>
      </c>
    </row>
    <row r="87" spans="2:8" ht="15.75" thickBot="1">
      <c r="B87" s="16">
        <v>71</v>
      </c>
      <c r="C87" s="26" t="s">
        <v>126</v>
      </c>
      <c r="D87" s="26" t="s">
        <v>56</v>
      </c>
      <c r="E87" s="26">
        <v>32</v>
      </c>
      <c r="F87" s="26">
        <v>100</v>
      </c>
      <c r="G87" s="26">
        <v>51</v>
      </c>
      <c r="H87" s="26">
        <v>200</v>
      </c>
    </row>
    <row r="88" spans="2:8" ht="15.75" thickBot="1">
      <c r="B88" s="16">
        <v>72</v>
      </c>
      <c r="C88" s="26" t="s">
        <v>127</v>
      </c>
      <c r="D88" s="26" t="s">
        <v>56</v>
      </c>
      <c r="E88" s="26">
        <v>32</v>
      </c>
      <c r="F88" s="26">
        <v>110</v>
      </c>
      <c r="G88" s="26">
        <v>51</v>
      </c>
      <c r="H88" s="26">
        <v>220</v>
      </c>
    </row>
    <row r="89" spans="2:8" ht="15.75" thickBot="1">
      <c r="B89" s="16">
        <v>73</v>
      </c>
      <c r="C89" s="26" t="s">
        <v>128</v>
      </c>
      <c r="D89" s="26" t="s">
        <v>56</v>
      </c>
      <c r="E89" s="26">
        <v>32</v>
      </c>
      <c r="F89" s="26">
        <v>100</v>
      </c>
      <c r="G89" s="26">
        <v>51</v>
      </c>
      <c r="H89" s="26">
        <v>200</v>
      </c>
    </row>
    <row r="90" spans="2:8" ht="15.75" thickBot="1">
      <c r="B90" s="16">
        <v>74</v>
      </c>
      <c r="C90" s="26" t="s">
        <v>129</v>
      </c>
      <c r="D90" s="26" t="s">
        <v>56</v>
      </c>
      <c r="E90" s="26">
        <v>53</v>
      </c>
      <c r="F90" s="26">
        <v>250</v>
      </c>
      <c r="G90" s="26">
        <v>85</v>
      </c>
      <c r="H90" s="26">
        <v>500</v>
      </c>
    </row>
    <row r="91" spans="2:8" ht="15.75" thickBot="1">
      <c r="B91" s="16">
        <v>75</v>
      </c>
      <c r="C91" s="26" t="s">
        <v>130</v>
      </c>
      <c r="D91" s="26" t="s">
        <v>56</v>
      </c>
      <c r="E91" s="26">
        <v>32</v>
      </c>
      <c r="F91" s="26">
        <v>100</v>
      </c>
      <c r="G91" s="26">
        <v>51</v>
      </c>
      <c r="H91" s="26">
        <v>200</v>
      </c>
    </row>
    <row r="92" spans="2:8" ht="15.75" thickBot="1">
      <c r="B92" s="16">
        <v>76</v>
      </c>
      <c r="C92" s="26" t="s">
        <v>131</v>
      </c>
      <c r="D92" s="26" t="s">
        <v>56</v>
      </c>
      <c r="E92" s="26">
        <v>38</v>
      </c>
      <c r="F92" s="26">
        <v>100</v>
      </c>
      <c r="G92" s="26">
        <v>60</v>
      </c>
      <c r="H92" s="26">
        <v>200</v>
      </c>
    </row>
    <row r="93" spans="2:8" ht="15.75" thickBot="1">
      <c r="B93" s="16">
        <v>77</v>
      </c>
      <c r="C93" s="26" t="s">
        <v>132</v>
      </c>
      <c r="D93" s="26" t="s">
        <v>56</v>
      </c>
      <c r="E93" s="26">
        <v>38</v>
      </c>
      <c r="F93" s="26">
        <v>100</v>
      </c>
      <c r="G93" s="26">
        <v>60</v>
      </c>
      <c r="H93" s="26">
        <v>200</v>
      </c>
    </row>
    <row r="94" spans="2:8" ht="15.75" thickBot="1">
      <c r="B94" s="16">
        <v>78</v>
      </c>
      <c r="C94" s="26" t="s">
        <v>133</v>
      </c>
      <c r="D94" s="26" t="s">
        <v>56</v>
      </c>
      <c r="E94" s="26">
        <v>60</v>
      </c>
      <c r="F94" s="26">
        <v>80</v>
      </c>
      <c r="G94" s="26">
        <v>96</v>
      </c>
      <c r="H94" s="26">
        <v>160</v>
      </c>
    </row>
    <row r="95" spans="2:8" ht="15.75" thickBot="1">
      <c r="B95" s="16">
        <v>79</v>
      </c>
      <c r="C95" s="26" t="s">
        <v>134</v>
      </c>
      <c r="D95" s="26" t="s">
        <v>56</v>
      </c>
      <c r="E95" s="26">
        <v>38</v>
      </c>
      <c r="F95" s="26">
        <v>100</v>
      </c>
      <c r="G95" s="26">
        <v>60</v>
      </c>
      <c r="H95" s="26">
        <v>200</v>
      </c>
    </row>
    <row r="96" spans="2:8" ht="15.75" thickBot="1">
      <c r="B96" s="16">
        <v>80</v>
      </c>
      <c r="C96" s="26" t="s">
        <v>135</v>
      </c>
      <c r="D96" s="26" t="s">
        <v>59</v>
      </c>
      <c r="E96" s="26">
        <v>35</v>
      </c>
      <c r="F96" s="26">
        <v>150</v>
      </c>
      <c r="G96" s="26">
        <v>56</v>
      </c>
      <c r="H96" s="26">
        <v>300</v>
      </c>
    </row>
    <row r="97" spans="2:8" ht="15.75" thickBot="1">
      <c r="B97" s="16">
        <v>81</v>
      </c>
      <c r="C97" s="26" t="s">
        <v>136</v>
      </c>
      <c r="D97" s="26" t="s">
        <v>59</v>
      </c>
      <c r="E97" s="26">
        <v>35</v>
      </c>
      <c r="F97" s="26">
        <v>130</v>
      </c>
      <c r="G97" s="26">
        <v>56</v>
      </c>
      <c r="H97" s="26">
        <v>260</v>
      </c>
    </row>
    <row r="98" spans="2:8" ht="15.75" thickBot="1">
      <c r="B98" s="16">
        <v>82</v>
      </c>
      <c r="C98" s="26" t="s">
        <v>137</v>
      </c>
      <c r="D98" s="26" t="s">
        <v>56</v>
      </c>
      <c r="E98" s="26">
        <v>38</v>
      </c>
      <c r="F98" s="26">
        <v>120</v>
      </c>
      <c r="G98" s="26">
        <v>60</v>
      </c>
      <c r="H98" s="26">
        <v>240</v>
      </c>
    </row>
    <row r="99" spans="2:8" ht="15.75" thickBot="1">
      <c r="B99" s="16">
        <v>83</v>
      </c>
      <c r="C99" s="26" t="s">
        <v>138</v>
      </c>
      <c r="D99" s="26" t="s">
        <v>59</v>
      </c>
      <c r="E99" s="26">
        <v>35</v>
      </c>
      <c r="F99" s="26">
        <v>150</v>
      </c>
      <c r="G99" s="26">
        <v>56</v>
      </c>
      <c r="H99" s="26">
        <v>300</v>
      </c>
    </row>
    <row r="100" spans="2:8" ht="15.75" thickBot="1">
      <c r="B100" s="16">
        <v>84</v>
      </c>
      <c r="C100" s="26" t="s">
        <v>139</v>
      </c>
      <c r="D100" s="26" t="s">
        <v>56</v>
      </c>
      <c r="E100" s="26">
        <v>32</v>
      </c>
      <c r="F100" s="26">
        <v>110</v>
      </c>
      <c r="G100" s="26">
        <v>51</v>
      </c>
      <c r="H100" s="26">
        <v>220</v>
      </c>
    </row>
    <row r="101" spans="2:8" ht="15.75" thickBot="1">
      <c r="B101" s="16">
        <v>85</v>
      </c>
      <c r="C101" s="26" t="s">
        <v>140</v>
      </c>
      <c r="D101" s="26" t="s">
        <v>56</v>
      </c>
      <c r="E101" s="26">
        <v>53</v>
      </c>
      <c r="F101" s="26">
        <v>250</v>
      </c>
      <c r="G101" s="26">
        <v>84</v>
      </c>
      <c r="H101" s="26">
        <v>500</v>
      </c>
    </row>
    <row r="102" spans="2:8" ht="15.75" thickBot="1">
      <c r="B102" s="16">
        <v>86</v>
      </c>
      <c r="C102" s="26" t="s">
        <v>143</v>
      </c>
      <c r="D102" s="26" t="s">
        <v>56</v>
      </c>
      <c r="E102" s="26">
        <v>38</v>
      </c>
      <c r="F102" s="26">
        <v>100</v>
      </c>
      <c r="G102" s="26">
        <v>60</v>
      </c>
      <c r="H102" s="26">
        <v>200</v>
      </c>
    </row>
    <row r="103" spans="2:8" ht="15.75" thickBot="1">
      <c r="B103" s="16">
        <v>87</v>
      </c>
      <c r="C103" s="26" t="s">
        <v>141</v>
      </c>
      <c r="D103" s="26" t="s">
        <v>56</v>
      </c>
      <c r="E103" s="26">
        <v>38</v>
      </c>
      <c r="F103" s="26">
        <v>100</v>
      </c>
      <c r="G103" s="26">
        <v>60</v>
      </c>
      <c r="H103" s="26">
        <v>200</v>
      </c>
    </row>
    <row r="104" spans="2:8" ht="15.75" thickBot="1">
      <c r="B104" s="16">
        <v>88</v>
      </c>
      <c r="C104" s="26" t="s">
        <v>142</v>
      </c>
      <c r="D104" s="26" t="s">
        <v>56</v>
      </c>
      <c r="E104" s="26">
        <v>32</v>
      </c>
      <c r="F104" s="26">
        <v>100</v>
      </c>
      <c r="G104" s="26">
        <v>51</v>
      </c>
      <c r="H104" s="26">
        <v>200</v>
      </c>
    </row>
    <row r="105" spans="2:8" ht="15.75" thickBot="1">
      <c r="B105" s="16">
        <v>89</v>
      </c>
      <c r="C105" s="26" t="s">
        <v>144</v>
      </c>
      <c r="D105" s="26" t="s">
        <v>56</v>
      </c>
      <c r="E105" s="26">
        <v>38</v>
      </c>
      <c r="F105" s="26">
        <v>150</v>
      </c>
      <c r="G105" s="26">
        <v>60</v>
      </c>
      <c r="H105" s="26">
        <v>300</v>
      </c>
    </row>
    <row r="106" spans="2:8" ht="15.75" thickBot="1">
      <c r="B106" s="16">
        <v>90</v>
      </c>
      <c r="C106" s="26" t="s">
        <v>145</v>
      </c>
      <c r="D106" s="26" t="s">
        <v>56</v>
      </c>
      <c r="E106" s="26">
        <v>32</v>
      </c>
      <c r="F106" s="26">
        <v>100</v>
      </c>
      <c r="G106" s="26">
        <v>51</v>
      </c>
      <c r="H106" s="26">
        <v>200</v>
      </c>
    </row>
    <row r="107" spans="2:8" ht="15.75" thickBot="1">
      <c r="B107" s="16">
        <v>91</v>
      </c>
      <c r="C107" s="26" t="s">
        <v>146</v>
      </c>
      <c r="D107" s="26" t="s">
        <v>56</v>
      </c>
      <c r="E107" s="26">
        <v>32</v>
      </c>
      <c r="F107" s="26">
        <v>100</v>
      </c>
      <c r="G107" s="26">
        <v>51</v>
      </c>
      <c r="H107" s="26">
        <v>200</v>
      </c>
    </row>
    <row r="108" spans="2:8" ht="15.75" thickBot="1">
      <c r="B108" s="16">
        <v>92</v>
      </c>
      <c r="C108" s="26" t="s">
        <v>147</v>
      </c>
      <c r="D108" s="26" t="s">
        <v>59</v>
      </c>
      <c r="E108" s="26">
        <v>35</v>
      </c>
      <c r="F108" s="26">
        <v>150</v>
      </c>
      <c r="G108" s="26">
        <v>56</v>
      </c>
      <c r="H108" s="26">
        <v>300</v>
      </c>
    </row>
    <row r="109" spans="2:8" ht="15.75" thickBot="1">
      <c r="B109" s="16">
        <v>93</v>
      </c>
      <c r="C109" s="26" t="s">
        <v>148</v>
      </c>
      <c r="D109" s="26" t="s">
        <v>56</v>
      </c>
      <c r="E109" s="26">
        <v>38</v>
      </c>
      <c r="F109" s="26">
        <v>100</v>
      </c>
      <c r="G109" s="26">
        <v>60</v>
      </c>
      <c r="H109" s="26">
        <v>200</v>
      </c>
    </row>
    <row r="110" spans="2:8" ht="15.75" thickBot="1">
      <c r="B110" s="16">
        <v>94</v>
      </c>
      <c r="C110" s="26" t="s">
        <v>149</v>
      </c>
      <c r="D110" s="26" t="s">
        <v>56</v>
      </c>
      <c r="E110" s="26">
        <v>32</v>
      </c>
      <c r="F110" s="26">
        <v>100</v>
      </c>
      <c r="G110" s="26">
        <v>51</v>
      </c>
      <c r="H110" s="26">
        <v>200</v>
      </c>
    </row>
    <row r="111" spans="2:8" ht="15.75" thickBot="1">
      <c r="B111" s="16">
        <v>95</v>
      </c>
      <c r="C111" s="26" t="s">
        <v>150</v>
      </c>
      <c r="D111" s="26" t="s">
        <v>56</v>
      </c>
      <c r="E111" s="26">
        <v>38</v>
      </c>
      <c r="F111" s="26">
        <v>130</v>
      </c>
      <c r="G111" s="26">
        <v>60</v>
      </c>
      <c r="H111" s="26">
        <v>260</v>
      </c>
    </row>
    <row r="112" spans="2:8" ht="15.75" thickBot="1">
      <c r="B112" s="16">
        <v>96</v>
      </c>
      <c r="C112" s="26" t="s">
        <v>151</v>
      </c>
      <c r="D112" s="26" t="s">
        <v>59</v>
      </c>
      <c r="E112" s="26">
        <v>35</v>
      </c>
      <c r="F112" s="26">
        <v>150</v>
      </c>
      <c r="G112" s="26">
        <v>56</v>
      </c>
      <c r="H112" s="26">
        <v>300</v>
      </c>
    </row>
    <row r="113" spans="2:8" ht="15.75" thickBot="1">
      <c r="B113" s="16">
        <v>97</v>
      </c>
      <c r="C113" s="26" t="s">
        <v>152</v>
      </c>
      <c r="D113" s="26" t="s">
        <v>59</v>
      </c>
      <c r="E113" s="26">
        <v>35</v>
      </c>
      <c r="F113" s="26">
        <v>150</v>
      </c>
      <c r="G113" s="26">
        <v>56</v>
      </c>
      <c r="H113" s="26">
        <v>300</v>
      </c>
    </row>
    <row r="114" spans="2:8" ht="15.75" thickBot="1">
      <c r="B114" s="16">
        <v>98</v>
      </c>
      <c r="C114" s="26" t="s">
        <v>153</v>
      </c>
      <c r="D114" s="26" t="s">
        <v>59</v>
      </c>
      <c r="E114" s="26">
        <v>32</v>
      </c>
      <c r="F114" s="26">
        <v>100</v>
      </c>
      <c r="G114" s="26">
        <v>51</v>
      </c>
      <c r="H114" s="26">
        <v>200</v>
      </c>
    </row>
    <row r="115" spans="2:8" ht="15.75" thickBot="1">
      <c r="B115" s="16">
        <v>99</v>
      </c>
      <c r="C115" s="26" t="s">
        <v>154</v>
      </c>
      <c r="D115" s="26" t="s">
        <v>56</v>
      </c>
      <c r="E115" s="26">
        <v>32</v>
      </c>
      <c r="F115" s="26">
        <v>100</v>
      </c>
      <c r="G115" s="26">
        <v>51</v>
      </c>
      <c r="H115" s="26">
        <v>200</v>
      </c>
    </row>
    <row r="116" spans="2:8" ht="15.75" thickBot="1">
      <c r="B116" s="16">
        <v>100</v>
      </c>
      <c r="C116" s="26" t="s">
        <v>155</v>
      </c>
      <c r="D116" s="26" t="s">
        <v>56</v>
      </c>
      <c r="E116" s="26">
        <v>32</v>
      </c>
      <c r="F116" s="26">
        <v>110</v>
      </c>
      <c r="G116" s="26">
        <v>51</v>
      </c>
      <c r="H116" s="26">
        <v>220</v>
      </c>
    </row>
    <row r="117" spans="2:8" ht="15.75" thickBot="1">
      <c r="B117" s="16">
        <v>101</v>
      </c>
      <c r="C117" s="26" t="s">
        <v>156</v>
      </c>
      <c r="D117" s="26" t="s">
        <v>56</v>
      </c>
      <c r="E117" s="26">
        <v>32</v>
      </c>
      <c r="F117" s="26">
        <v>100</v>
      </c>
      <c r="G117" s="26">
        <v>51</v>
      </c>
      <c r="H117" s="26">
        <v>200</v>
      </c>
    </row>
    <row r="118" spans="2:8" ht="15.75" thickBot="1">
      <c r="B118" s="16">
        <v>102</v>
      </c>
      <c r="C118" s="26" t="s">
        <v>157</v>
      </c>
      <c r="D118" s="26" t="s">
        <v>59</v>
      </c>
      <c r="E118" s="26">
        <v>35</v>
      </c>
      <c r="F118" s="26">
        <v>150</v>
      </c>
      <c r="G118" s="26">
        <v>56</v>
      </c>
      <c r="H118" s="26">
        <v>300</v>
      </c>
    </row>
    <row r="119" spans="2:8" ht="15.75" thickBot="1">
      <c r="B119" s="16">
        <v>103</v>
      </c>
      <c r="C119" s="26" t="s">
        <v>158</v>
      </c>
      <c r="D119" s="26" t="s">
        <v>56</v>
      </c>
      <c r="E119" s="26">
        <v>32</v>
      </c>
      <c r="F119" s="26">
        <v>120</v>
      </c>
      <c r="G119" s="26">
        <v>51</v>
      </c>
      <c r="H119" s="26">
        <v>240</v>
      </c>
    </row>
    <row r="120" spans="2:8" ht="15.75" thickBot="1">
      <c r="B120" s="16">
        <v>104</v>
      </c>
      <c r="C120" s="26" t="s">
        <v>159</v>
      </c>
      <c r="D120" s="26" t="s">
        <v>56</v>
      </c>
      <c r="E120" s="26">
        <v>32</v>
      </c>
      <c r="F120" s="26">
        <v>100</v>
      </c>
      <c r="G120" s="26">
        <v>51</v>
      </c>
      <c r="H120" s="26">
        <v>200</v>
      </c>
    </row>
    <row r="121" spans="2:8" ht="15.75" thickBot="1">
      <c r="B121" s="16">
        <v>105</v>
      </c>
      <c r="C121" s="26" t="s">
        <v>160</v>
      </c>
      <c r="D121" s="26" t="s">
        <v>56</v>
      </c>
      <c r="E121" s="26">
        <v>32</v>
      </c>
      <c r="F121" s="26">
        <v>110</v>
      </c>
      <c r="G121" s="26">
        <v>51</v>
      </c>
      <c r="H121" s="26">
        <v>220</v>
      </c>
    </row>
    <row r="122" spans="2:8" ht="15.75" thickBot="1">
      <c r="B122" s="16">
        <v>106</v>
      </c>
      <c r="C122" s="26" t="s">
        <v>161</v>
      </c>
      <c r="D122" s="26" t="s">
        <v>56</v>
      </c>
      <c r="E122" s="26">
        <v>38</v>
      </c>
      <c r="F122" s="26">
        <v>110</v>
      </c>
      <c r="G122" s="26">
        <v>60</v>
      </c>
      <c r="H122" s="26">
        <v>220</v>
      </c>
    </row>
    <row r="123" spans="2:8" ht="15.75" thickBot="1">
      <c r="B123" s="16">
        <v>107</v>
      </c>
      <c r="C123" s="26" t="s">
        <v>162</v>
      </c>
      <c r="D123" s="26" t="s">
        <v>56</v>
      </c>
      <c r="E123" s="26">
        <v>38</v>
      </c>
      <c r="F123" s="26">
        <v>100</v>
      </c>
      <c r="G123" s="26">
        <v>60</v>
      </c>
      <c r="H123" s="26">
        <v>200</v>
      </c>
    </row>
    <row r="124" spans="2:8" ht="15.75" thickBot="1">
      <c r="B124" s="16">
        <v>108</v>
      </c>
      <c r="C124" s="26" t="s">
        <v>163</v>
      </c>
      <c r="D124" s="26" t="s">
        <v>56</v>
      </c>
      <c r="E124" s="26">
        <v>38</v>
      </c>
      <c r="F124" s="26">
        <v>110</v>
      </c>
      <c r="G124" s="26">
        <v>60</v>
      </c>
      <c r="H124" s="26">
        <v>220</v>
      </c>
    </row>
    <row r="125" spans="2:8" ht="15.75" thickBot="1">
      <c r="B125" s="16">
        <v>109</v>
      </c>
      <c r="C125" s="26" t="s">
        <v>164</v>
      </c>
      <c r="D125" s="26" t="s">
        <v>56</v>
      </c>
      <c r="E125" s="26">
        <v>32</v>
      </c>
      <c r="F125" s="26">
        <v>100</v>
      </c>
      <c r="G125" s="26">
        <v>51</v>
      </c>
      <c r="H125" s="26">
        <v>200</v>
      </c>
    </row>
    <row r="126" spans="2:8" ht="15.75" thickBot="1">
      <c r="B126" s="16">
        <v>110</v>
      </c>
      <c r="C126" s="26" t="s">
        <v>165</v>
      </c>
      <c r="D126" s="26" t="s">
        <v>59</v>
      </c>
      <c r="E126" s="26">
        <v>32</v>
      </c>
      <c r="F126" s="26">
        <v>100</v>
      </c>
      <c r="G126" s="26">
        <v>51</v>
      </c>
      <c r="H126" s="26">
        <v>200</v>
      </c>
    </row>
    <row r="127" spans="2:8" ht="15.75" thickBot="1">
      <c r="B127" s="16">
        <v>111</v>
      </c>
      <c r="C127" s="26" t="s">
        <v>166</v>
      </c>
      <c r="D127" s="26" t="s">
        <v>56</v>
      </c>
      <c r="E127" s="26">
        <v>32</v>
      </c>
      <c r="F127" s="26">
        <v>100</v>
      </c>
      <c r="G127" s="26">
        <v>51</v>
      </c>
      <c r="H127" s="26">
        <v>200</v>
      </c>
    </row>
    <row r="128" spans="2:8" ht="15.75" thickBot="1">
      <c r="B128" s="16">
        <v>112</v>
      </c>
      <c r="C128" s="26" t="s">
        <v>167</v>
      </c>
      <c r="D128" s="26" t="s">
        <v>56</v>
      </c>
      <c r="E128" s="26">
        <v>32</v>
      </c>
      <c r="F128" s="26">
        <v>100</v>
      </c>
      <c r="G128" s="26">
        <v>51</v>
      </c>
      <c r="H128" s="26">
        <v>200</v>
      </c>
    </row>
    <row r="129" spans="2:8" ht="15.75" thickBot="1">
      <c r="B129" s="16">
        <v>113</v>
      </c>
      <c r="C129" s="26" t="s">
        <v>168</v>
      </c>
      <c r="D129" s="26" t="s">
        <v>56</v>
      </c>
      <c r="E129" s="26">
        <v>32</v>
      </c>
      <c r="F129" s="26">
        <v>110</v>
      </c>
      <c r="G129" s="26">
        <v>51</v>
      </c>
      <c r="H129" s="26">
        <v>220</v>
      </c>
    </row>
    <row r="130" spans="2:8" ht="15.75" thickBot="1">
      <c r="B130" s="16">
        <v>114</v>
      </c>
      <c r="C130" s="26" t="s">
        <v>169</v>
      </c>
      <c r="D130" s="26" t="s">
        <v>56</v>
      </c>
      <c r="E130" s="26">
        <v>32</v>
      </c>
      <c r="F130" s="26">
        <v>110</v>
      </c>
      <c r="G130" s="26">
        <v>51</v>
      </c>
      <c r="H130" s="26">
        <v>220</v>
      </c>
    </row>
    <row r="131" spans="2:8" ht="15.75" thickBot="1">
      <c r="B131" s="16">
        <v>115</v>
      </c>
      <c r="C131" s="26" t="s">
        <v>170</v>
      </c>
      <c r="D131" s="26" t="s">
        <v>56</v>
      </c>
      <c r="E131" s="26">
        <v>32</v>
      </c>
      <c r="F131" s="26">
        <v>110</v>
      </c>
      <c r="G131" s="26">
        <v>51</v>
      </c>
      <c r="H131" s="26">
        <v>220</v>
      </c>
    </row>
    <row r="132" spans="2:8" ht="15.75" thickBot="1">
      <c r="B132" s="16">
        <v>116</v>
      </c>
      <c r="C132" s="26" t="s">
        <v>171</v>
      </c>
      <c r="D132" s="26" t="s">
        <v>56</v>
      </c>
      <c r="E132" s="26">
        <v>32</v>
      </c>
      <c r="F132" s="26">
        <v>160</v>
      </c>
      <c r="G132" s="26">
        <v>51</v>
      </c>
      <c r="H132" s="26">
        <v>320</v>
      </c>
    </row>
    <row r="133" spans="2:8" ht="15.75" thickBot="1">
      <c r="B133" s="16">
        <v>117</v>
      </c>
      <c r="C133" s="26" t="s">
        <v>172</v>
      </c>
      <c r="D133" s="26" t="s">
        <v>59</v>
      </c>
      <c r="E133" s="26">
        <v>35</v>
      </c>
      <c r="F133" s="26">
        <v>150</v>
      </c>
      <c r="G133" s="26">
        <v>56</v>
      </c>
      <c r="H133" s="26">
        <v>300</v>
      </c>
    </row>
    <row r="134" spans="2:8" ht="15.75" thickBot="1">
      <c r="B134" s="16">
        <v>118</v>
      </c>
      <c r="C134" s="26" t="s">
        <v>173</v>
      </c>
      <c r="D134" s="26" t="s">
        <v>56</v>
      </c>
      <c r="E134" s="26">
        <v>38</v>
      </c>
      <c r="F134" s="26">
        <v>160</v>
      </c>
      <c r="G134" s="26">
        <v>60</v>
      </c>
      <c r="H134" s="26">
        <v>320</v>
      </c>
    </row>
    <row r="135" spans="2:8" ht="15.75" thickBot="1">
      <c r="B135" s="16">
        <v>119</v>
      </c>
      <c r="C135" s="26" t="s">
        <v>174</v>
      </c>
      <c r="D135" s="26" t="s">
        <v>59</v>
      </c>
      <c r="E135" s="26">
        <v>35</v>
      </c>
      <c r="F135" s="26">
        <v>150</v>
      </c>
      <c r="G135" s="26">
        <v>56</v>
      </c>
      <c r="H135" s="26">
        <v>300</v>
      </c>
    </row>
    <row r="136" spans="2:8" ht="15.75" thickBot="1">
      <c r="B136" s="16">
        <v>120</v>
      </c>
      <c r="C136" s="26" t="s">
        <v>175</v>
      </c>
      <c r="D136" s="26" t="s">
        <v>56</v>
      </c>
      <c r="E136" s="26">
        <v>38</v>
      </c>
      <c r="F136" s="26">
        <v>100</v>
      </c>
      <c r="G136" s="26">
        <v>60</v>
      </c>
      <c r="H136" s="26">
        <v>200</v>
      </c>
    </row>
    <row r="137" spans="2:8" ht="15.75" thickBot="1">
      <c r="B137" s="16">
        <v>121</v>
      </c>
      <c r="C137" s="26" t="s">
        <v>176</v>
      </c>
      <c r="D137" s="26" t="s">
        <v>56</v>
      </c>
      <c r="E137" s="26">
        <v>32</v>
      </c>
      <c r="F137" s="26">
        <v>140</v>
      </c>
      <c r="G137" s="26">
        <v>51</v>
      </c>
      <c r="H137" s="26">
        <v>280</v>
      </c>
    </row>
    <row r="138" spans="2:8" ht="15.75" thickBot="1">
      <c r="B138" s="16">
        <v>122</v>
      </c>
      <c r="C138" s="26" t="s">
        <v>177</v>
      </c>
      <c r="D138" s="26" t="s">
        <v>56</v>
      </c>
      <c r="E138" s="26">
        <v>32</v>
      </c>
      <c r="F138" s="26">
        <v>110</v>
      </c>
      <c r="G138" s="26">
        <v>51</v>
      </c>
      <c r="H138" s="26">
        <v>220</v>
      </c>
    </row>
    <row r="139" spans="2:8" ht="15.75" thickBot="1">
      <c r="B139" s="16">
        <v>123</v>
      </c>
      <c r="C139" s="26" t="s">
        <v>178</v>
      </c>
      <c r="D139" s="26" t="s">
        <v>56</v>
      </c>
      <c r="E139" s="26">
        <v>32</v>
      </c>
      <c r="F139" s="26">
        <v>100</v>
      </c>
      <c r="G139" s="26">
        <v>51</v>
      </c>
      <c r="H139" s="26">
        <v>200</v>
      </c>
    </row>
    <row r="140" spans="2:8" ht="15.75" thickBot="1">
      <c r="B140" s="16">
        <v>124</v>
      </c>
      <c r="C140" s="26" t="s">
        <v>179</v>
      </c>
      <c r="D140" s="26" t="s">
        <v>56</v>
      </c>
      <c r="E140" s="26">
        <v>32</v>
      </c>
      <c r="F140" s="26">
        <v>100</v>
      </c>
      <c r="G140" s="26">
        <v>51</v>
      </c>
      <c r="H140" s="26">
        <v>200</v>
      </c>
    </row>
    <row r="141" spans="2:8" ht="15.75" thickBot="1">
      <c r="B141" s="16">
        <v>125</v>
      </c>
      <c r="C141" s="26" t="s">
        <v>180</v>
      </c>
      <c r="D141" s="26" t="s">
        <v>56</v>
      </c>
      <c r="E141" s="26">
        <v>32</v>
      </c>
      <c r="F141" s="26">
        <v>110</v>
      </c>
      <c r="G141" s="26">
        <v>51</v>
      </c>
      <c r="H141" s="26">
        <v>220</v>
      </c>
    </row>
    <row r="142" spans="2:8" ht="15.75" thickBot="1">
      <c r="B142" s="16">
        <v>126</v>
      </c>
      <c r="C142" s="26" t="s">
        <v>181</v>
      </c>
      <c r="D142" s="26" t="s">
        <v>59</v>
      </c>
      <c r="E142" s="26">
        <v>35</v>
      </c>
      <c r="F142" s="26">
        <v>150</v>
      </c>
      <c r="G142" s="26">
        <v>56</v>
      </c>
      <c r="H142" s="26">
        <v>300</v>
      </c>
    </row>
    <row r="143" spans="2:8" ht="15.75" thickBot="1">
      <c r="B143" s="16">
        <v>127</v>
      </c>
      <c r="C143" s="26" t="s">
        <v>182</v>
      </c>
      <c r="D143" s="26" t="s">
        <v>59</v>
      </c>
      <c r="E143" s="26">
        <v>35</v>
      </c>
      <c r="F143" s="26">
        <v>150</v>
      </c>
      <c r="G143" s="26">
        <v>56</v>
      </c>
      <c r="H143" s="26">
        <v>300</v>
      </c>
    </row>
    <row r="144" spans="2:8" ht="15.75" thickBot="1">
      <c r="B144" s="16">
        <v>128</v>
      </c>
      <c r="C144" s="26" t="s">
        <v>183</v>
      </c>
      <c r="D144" s="26" t="s">
        <v>56</v>
      </c>
      <c r="E144" s="26">
        <v>38</v>
      </c>
      <c r="F144" s="26">
        <v>140</v>
      </c>
      <c r="G144" s="26">
        <v>60</v>
      </c>
      <c r="H144" s="26">
        <v>280</v>
      </c>
    </row>
    <row r="145" spans="2:8" ht="15.75" thickBot="1">
      <c r="B145" s="27"/>
      <c r="C145" s="28" t="s">
        <v>232</v>
      </c>
      <c r="D145" s="28"/>
      <c r="E145" s="28"/>
      <c r="F145" s="28"/>
      <c r="G145" s="28"/>
      <c r="H145" s="28"/>
    </row>
    <row r="146" spans="2:8" ht="15.75" thickBot="1">
      <c r="B146" s="16">
        <v>129</v>
      </c>
      <c r="C146" s="26" t="s">
        <v>184</v>
      </c>
      <c r="D146" s="26" t="s">
        <v>56</v>
      </c>
      <c r="E146" s="26">
        <v>32</v>
      </c>
      <c r="F146" s="26">
        <v>100</v>
      </c>
      <c r="G146" s="26">
        <v>51</v>
      </c>
      <c r="H146" s="26">
        <v>200</v>
      </c>
    </row>
    <row r="147" spans="2:8" ht="15.75" thickBot="1">
      <c r="B147" s="16">
        <v>130</v>
      </c>
      <c r="C147" s="26" t="s">
        <v>198</v>
      </c>
      <c r="D147" s="26" t="s">
        <v>56</v>
      </c>
      <c r="E147" s="26">
        <v>53</v>
      </c>
      <c r="F147" s="26">
        <v>210</v>
      </c>
      <c r="G147" s="26">
        <v>84</v>
      </c>
      <c r="H147" s="26">
        <v>420</v>
      </c>
    </row>
    <row r="148" spans="2:8" ht="15.75" thickBot="1">
      <c r="B148" s="16">
        <v>131</v>
      </c>
      <c r="C148" s="26" t="s">
        <v>186</v>
      </c>
      <c r="D148" s="26" t="s">
        <v>56</v>
      </c>
      <c r="E148" s="26">
        <v>32</v>
      </c>
      <c r="F148" s="26">
        <v>100</v>
      </c>
      <c r="G148" s="26">
        <v>51</v>
      </c>
      <c r="H148" s="26">
        <v>200</v>
      </c>
    </row>
    <row r="149" spans="2:8" ht="15.75" thickBot="1">
      <c r="B149" s="16">
        <v>132</v>
      </c>
      <c r="C149" s="26" t="s">
        <v>188</v>
      </c>
      <c r="D149" s="26" t="s">
        <v>59</v>
      </c>
      <c r="E149" s="26">
        <v>35</v>
      </c>
      <c r="F149" s="26">
        <v>150</v>
      </c>
      <c r="G149" s="26">
        <v>56</v>
      </c>
      <c r="H149" s="26">
        <v>300</v>
      </c>
    </row>
    <row r="150" spans="2:8" ht="15.75" thickBot="1">
      <c r="B150" s="16">
        <v>133</v>
      </c>
      <c r="C150" s="26" t="s">
        <v>187</v>
      </c>
      <c r="D150" s="26" t="s">
        <v>56</v>
      </c>
      <c r="E150" s="26">
        <v>32</v>
      </c>
      <c r="F150" s="26">
        <v>100</v>
      </c>
      <c r="G150" s="26">
        <v>51</v>
      </c>
      <c r="H150" s="26">
        <v>200</v>
      </c>
    </row>
    <row r="151" spans="2:8" ht="15.75" thickBot="1">
      <c r="B151" s="16">
        <v>134</v>
      </c>
      <c r="C151" s="26" t="s">
        <v>189</v>
      </c>
      <c r="D151" s="26" t="s">
        <v>56</v>
      </c>
      <c r="E151" s="26">
        <v>32</v>
      </c>
      <c r="F151" s="26">
        <v>100</v>
      </c>
      <c r="G151" s="26">
        <v>51</v>
      </c>
      <c r="H151" s="26">
        <v>200</v>
      </c>
    </row>
    <row r="152" spans="2:8" ht="15.75" thickBot="1">
      <c r="B152" s="16">
        <v>135</v>
      </c>
      <c r="C152" s="26" t="s">
        <v>190</v>
      </c>
      <c r="D152" s="26" t="s">
        <v>59</v>
      </c>
      <c r="E152" s="26">
        <v>32</v>
      </c>
      <c r="F152" s="26">
        <v>100</v>
      </c>
      <c r="G152" s="26">
        <v>51</v>
      </c>
      <c r="H152" s="26">
        <v>200</v>
      </c>
    </row>
    <row r="153" spans="2:8" ht="15.75" thickBot="1">
      <c r="B153" s="16">
        <v>136</v>
      </c>
      <c r="C153" s="26" t="s">
        <v>191</v>
      </c>
      <c r="D153" s="26" t="s">
        <v>56</v>
      </c>
      <c r="E153" s="26">
        <v>32</v>
      </c>
      <c r="F153" s="26">
        <v>100</v>
      </c>
      <c r="G153" s="26">
        <v>51</v>
      </c>
      <c r="H153" s="26">
        <v>200</v>
      </c>
    </row>
    <row r="154" spans="2:8" ht="15.75" thickBot="1">
      <c r="B154" s="16">
        <v>137</v>
      </c>
      <c r="C154" s="26" t="s">
        <v>192</v>
      </c>
      <c r="D154" s="26" t="s">
        <v>56</v>
      </c>
      <c r="E154" s="26">
        <v>38</v>
      </c>
      <c r="F154" s="26">
        <v>150</v>
      </c>
      <c r="G154" s="26">
        <v>60</v>
      </c>
      <c r="H154" s="26">
        <v>300</v>
      </c>
    </row>
    <row r="155" spans="2:8" ht="15.75" thickBot="1">
      <c r="B155" s="16">
        <v>138</v>
      </c>
      <c r="C155" s="26" t="s">
        <v>193</v>
      </c>
      <c r="D155" s="26" t="s">
        <v>56</v>
      </c>
      <c r="E155" s="26">
        <v>38</v>
      </c>
      <c r="F155" s="26">
        <v>100</v>
      </c>
      <c r="G155" s="26">
        <v>60</v>
      </c>
      <c r="H155" s="26">
        <v>200</v>
      </c>
    </row>
    <row r="156" spans="2:8" ht="15.75" thickBot="1">
      <c r="B156" s="16">
        <v>139</v>
      </c>
      <c r="C156" s="26" t="s">
        <v>194</v>
      </c>
      <c r="D156" s="26" t="s">
        <v>59</v>
      </c>
      <c r="E156" s="26">
        <v>35</v>
      </c>
      <c r="F156" s="26">
        <v>150</v>
      </c>
      <c r="G156" s="26">
        <v>56</v>
      </c>
      <c r="H156" s="26">
        <v>300</v>
      </c>
    </row>
    <row r="157" spans="2:8" ht="15.75" thickBot="1">
      <c r="B157" s="16">
        <v>140</v>
      </c>
      <c r="C157" s="26" t="s">
        <v>195</v>
      </c>
      <c r="D157" s="26" t="s">
        <v>59</v>
      </c>
      <c r="E157" s="26">
        <v>35</v>
      </c>
      <c r="F157" s="26">
        <v>150</v>
      </c>
      <c r="G157" s="26">
        <v>56</v>
      </c>
      <c r="H157" s="26">
        <v>300</v>
      </c>
    </row>
    <row r="158" spans="2:8" ht="15.75" thickBot="1">
      <c r="B158" s="16">
        <v>141</v>
      </c>
      <c r="C158" s="26" t="s">
        <v>196</v>
      </c>
      <c r="D158" s="26" t="s">
        <v>56</v>
      </c>
      <c r="E158" s="26">
        <v>32</v>
      </c>
      <c r="F158" s="26">
        <v>100</v>
      </c>
      <c r="G158" s="26">
        <v>51</v>
      </c>
      <c r="H158" s="26">
        <v>200</v>
      </c>
    </row>
    <row r="159" spans="2:8" ht="15.75" thickBot="1">
      <c r="B159" s="16">
        <v>142</v>
      </c>
      <c r="C159" s="26" t="s">
        <v>42</v>
      </c>
      <c r="D159" s="26" t="s">
        <v>59</v>
      </c>
      <c r="E159" s="26">
        <v>35</v>
      </c>
      <c r="F159" s="26">
        <v>150</v>
      </c>
      <c r="G159" s="26">
        <v>56</v>
      </c>
      <c r="H159" s="26">
        <v>300</v>
      </c>
    </row>
    <row r="160" spans="2:8" ht="15.75" thickBot="1">
      <c r="B160" s="16">
        <v>143</v>
      </c>
      <c r="C160" s="26" t="s">
        <v>197</v>
      </c>
      <c r="D160" s="26" t="s">
        <v>56</v>
      </c>
      <c r="E160" s="26">
        <v>38</v>
      </c>
      <c r="F160" s="26">
        <v>110</v>
      </c>
      <c r="G160" s="26">
        <v>60</v>
      </c>
      <c r="H160" s="26">
        <v>220</v>
      </c>
    </row>
    <row r="161" spans="2:8" ht="15.75" thickBot="1">
      <c r="B161" s="16">
        <v>144</v>
      </c>
      <c r="C161" s="26" t="s">
        <v>199</v>
      </c>
      <c r="D161" s="26" t="s">
        <v>56</v>
      </c>
      <c r="E161" s="26">
        <v>32</v>
      </c>
      <c r="F161" s="26">
        <v>110</v>
      </c>
      <c r="G161" s="26">
        <v>51</v>
      </c>
      <c r="H161" s="26">
        <v>220</v>
      </c>
    </row>
    <row r="162" spans="2:8" ht="15.75" thickBot="1">
      <c r="B162" s="16">
        <v>145</v>
      </c>
      <c r="C162" s="26" t="s">
        <v>200</v>
      </c>
      <c r="D162" s="26" t="s">
        <v>59</v>
      </c>
      <c r="E162" s="26">
        <v>35</v>
      </c>
      <c r="F162" s="26">
        <v>150</v>
      </c>
      <c r="G162" s="26">
        <v>56</v>
      </c>
      <c r="H162" s="26">
        <v>300</v>
      </c>
    </row>
    <row r="163" spans="2:8" ht="15.75" thickBot="1">
      <c r="B163" s="16">
        <v>146</v>
      </c>
      <c r="C163" s="26" t="s">
        <v>201</v>
      </c>
      <c r="D163" s="26" t="s">
        <v>56</v>
      </c>
      <c r="E163" s="26">
        <v>32</v>
      </c>
      <c r="F163" s="26">
        <v>110</v>
      </c>
      <c r="G163" s="26">
        <v>51</v>
      </c>
      <c r="H163" s="26">
        <v>220</v>
      </c>
    </row>
    <row r="164" spans="2:8" ht="15.75" thickBot="1">
      <c r="B164" s="16">
        <v>147</v>
      </c>
      <c r="C164" s="26" t="s">
        <v>202</v>
      </c>
      <c r="D164" s="26" t="s">
        <v>56</v>
      </c>
      <c r="E164" s="26">
        <v>38</v>
      </c>
      <c r="F164" s="26">
        <v>100</v>
      </c>
      <c r="G164" s="26">
        <v>60</v>
      </c>
      <c r="H164" s="26">
        <v>200</v>
      </c>
    </row>
    <row r="165" spans="2:8" ht="15.75" thickBot="1">
      <c r="B165" s="16">
        <v>148</v>
      </c>
      <c r="C165" s="26" t="s">
        <v>204</v>
      </c>
      <c r="D165" s="26" t="s">
        <v>56</v>
      </c>
      <c r="E165" s="26">
        <v>38</v>
      </c>
      <c r="F165" s="26">
        <v>110</v>
      </c>
      <c r="G165" s="26">
        <v>60</v>
      </c>
      <c r="H165" s="26">
        <v>220</v>
      </c>
    </row>
    <row r="166" spans="2:8" ht="15.75" thickBot="1">
      <c r="B166" s="16">
        <v>149</v>
      </c>
      <c r="C166" s="26" t="s">
        <v>203</v>
      </c>
      <c r="D166" s="26" t="s">
        <v>56</v>
      </c>
      <c r="E166" s="26">
        <v>32</v>
      </c>
      <c r="F166" s="26">
        <v>100</v>
      </c>
      <c r="G166" s="26">
        <v>51</v>
      </c>
      <c r="H166" s="26">
        <v>200</v>
      </c>
    </row>
    <row r="167" spans="2:8" ht="15.75" thickBot="1">
      <c r="B167" s="16">
        <v>150</v>
      </c>
      <c r="C167" s="26" t="s">
        <v>205</v>
      </c>
      <c r="D167" s="26" t="s">
        <v>56</v>
      </c>
      <c r="E167" s="26">
        <v>38</v>
      </c>
      <c r="F167" s="26">
        <v>100</v>
      </c>
      <c r="G167" s="26">
        <v>60</v>
      </c>
      <c r="H167" s="26">
        <v>200</v>
      </c>
    </row>
    <row r="168" spans="2:8" ht="15.75" thickBot="1">
      <c r="B168" s="16">
        <v>151</v>
      </c>
      <c r="C168" s="26" t="s">
        <v>206</v>
      </c>
      <c r="D168" s="26" t="s">
        <v>56</v>
      </c>
      <c r="E168" s="26">
        <v>32</v>
      </c>
      <c r="F168" s="26">
        <v>100</v>
      </c>
      <c r="G168" s="26">
        <v>51</v>
      </c>
      <c r="H168" s="26">
        <v>200</v>
      </c>
    </row>
    <row r="169" spans="2:8" ht="15.75" thickBot="1">
      <c r="B169" s="16">
        <v>152</v>
      </c>
      <c r="C169" s="26" t="s">
        <v>207</v>
      </c>
      <c r="D169" s="26" t="s">
        <v>56</v>
      </c>
      <c r="E169" s="26">
        <v>32</v>
      </c>
      <c r="F169" s="26">
        <v>100</v>
      </c>
      <c r="G169" s="26">
        <v>51</v>
      </c>
      <c r="H169" s="26">
        <v>200</v>
      </c>
    </row>
    <row r="170" spans="2:8" ht="15.75" thickBot="1">
      <c r="B170" s="16">
        <v>153</v>
      </c>
      <c r="C170" s="26" t="s">
        <v>208</v>
      </c>
      <c r="D170" s="26" t="s">
        <v>56</v>
      </c>
      <c r="E170" s="26">
        <v>38</v>
      </c>
      <c r="F170" s="26">
        <v>140</v>
      </c>
      <c r="G170" s="26">
        <v>60</v>
      </c>
      <c r="H170" s="26">
        <v>280</v>
      </c>
    </row>
    <row r="171" spans="2:8" ht="15.75" thickBot="1">
      <c r="B171" s="16">
        <v>154</v>
      </c>
      <c r="C171" s="26" t="s">
        <v>209</v>
      </c>
      <c r="D171" s="26" t="s">
        <v>56</v>
      </c>
      <c r="E171" s="26">
        <v>38</v>
      </c>
      <c r="F171" s="26">
        <v>110</v>
      </c>
      <c r="G171" s="26">
        <v>60</v>
      </c>
      <c r="H171" s="26">
        <v>220</v>
      </c>
    </row>
    <row r="172" spans="2:8" ht="15.75" thickBot="1">
      <c r="B172" s="16">
        <v>155</v>
      </c>
      <c r="C172" s="26" t="s">
        <v>210</v>
      </c>
      <c r="D172" s="26" t="s">
        <v>56</v>
      </c>
      <c r="E172" s="26">
        <v>38</v>
      </c>
      <c r="F172" s="26">
        <v>150</v>
      </c>
      <c r="G172" s="26">
        <v>60</v>
      </c>
      <c r="H172" s="26">
        <v>300</v>
      </c>
    </row>
    <row r="173" spans="2:8" ht="15.75" thickBot="1">
      <c r="B173" s="16">
        <v>156</v>
      </c>
      <c r="C173" s="26" t="s">
        <v>211</v>
      </c>
      <c r="D173" s="26" t="s">
        <v>56</v>
      </c>
      <c r="E173" s="26">
        <v>32</v>
      </c>
      <c r="F173" s="26">
        <v>100</v>
      </c>
      <c r="G173" s="26">
        <v>51</v>
      </c>
      <c r="H173" s="26">
        <v>200</v>
      </c>
    </row>
    <row r="174" spans="2:8" ht="15.75" thickBot="1">
      <c r="B174" s="16">
        <v>157</v>
      </c>
      <c r="C174" s="26" t="s">
        <v>212</v>
      </c>
      <c r="D174" s="26" t="s">
        <v>59</v>
      </c>
      <c r="E174" s="26">
        <v>35</v>
      </c>
      <c r="F174" s="26">
        <v>150</v>
      </c>
      <c r="G174" s="26">
        <v>56</v>
      </c>
      <c r="H174" s="26">
        <v>300</v>
      </c>
    </row>
    <row r="175" spans="2:8" ht="15.75" thickBot="1">
      <c r="B175" s="16">
        <v>158</v>
      </c>
      <c r="C175" s="26" t="s">
        <v>213</v>
      </c>
      <c r="D175" s="26" t="s">
        <v>56</v>
      </c>
      <c r="E175" s="26">
        <v>32</v>
      </c>
      <c r="F175" s="26">
        <v>100</v>
      </c>
      <c r="G175" s="26">
        <v>51</v>
      </c>
      <c r="H175" s="26">
        <v>200</v>
      </c>
    </row>
    <row r="176" spans="2:8" ht="15.75" thickBot="1">
      <c r="B176" s="16">
        <v>159</v>
      </c>
      <c r="C176" s="26" t="s">
        <v>214</v>
      </c>
      <c r="D176" s="26" t="s">
        <v>56</v>
      </c>
      <c r="E176" s="26">
        <v>38</v>
      </c>
      <c r="F176" s="26">
        <v>100</v>
      </c>
      <c r="G176" s="26">
        <v>60</v>
      </c>
      <c r="H176" s="26">
        <v>200</v>
      </c>
    </row>
    <row r="177" spans="2:8" ht="15.75" thickBot="1">
      <c r="B177" s="16">
        <v>160</v>
      </c>
      <c r="C177" s="26" t="s">
        <v>215</v>
      </c>
      <c r="D177" s="26" t="s">
        <v>59</v>
      </c>
      <c r="E177" s="26">
        <v>35</v>
      </c>
      <c r="F177" s="26">
        <v>150</v>
      </c>
      <c r="G177" s="26">
        <v>56</v>
      </c>
      <c r="H177" s="26">
        <v>300</v>
      </c>
    </row>
    <row r="178" spans="2:8" ht="15.75" thickBot="1">
      <c r="B178" s="16">
        <v>161</v>
      </c>
      <c r="C178" s="26" t="s">
        <v>216</v>
      </c>
      <c r="D178" s="26" t="s">
        <v>56</v>
      </c>
      <c r="E178" s="26">
        <v>32</v>
      </c>
      <c r="F178" s="26">
        <v>130</v>
      </c>
      <c r="G178" s="26">
        <v>51</v>
      </c>
      <c r="H178" s="26">
        <v>260</v>
      </c>
    </row>
    <row r="179" spans="2:8" ht="15.75" thickBot="1">
      <c r="B179" s="16">
        <v>162</v>
      </c>
      <c r="C179" s="26" t="s">
        <v>217</v>
      </c>
      <c r="D179" s="26" t="s">
        <v>56</v>
      </c>
      <c r="E179" s="26">
        <v>32</v>
      </c>
      <c r="F179" s="26">
        <v>120</v>
      </c>
      <c r="G179" s="26">
        <v>51</v>
      </c>
      <c r="H179" s="26">
        <v>240</v>
      </c>
    </row>
    <row r="180" spans="2:8" ht="15.75" thickBot="1">
      <c r="B180" s="16">
        <v>163</v>
      </c>
      <c r="C180" s="26" t="s">
        <v>218</v>
      </c>
      <c r="D180" s="26" t="s">
        <v>56</v>
      </c>
      <c r="E180" s="26">
        <v>38</v>
      </c>
      <c r="F180" s="26">
        <v>110</v>
      </c>
      <c r="G180" s="26">
        <v>60</v>
      </c>
      <c r="H180" s="26">
        <v>220</v>
      </c>
    </row>
    <row r="181" spans="2:8" ht="15.75" thickBot="1">
      <c r="B181" s="16">
        <v>164</v>
      </c>
      <c r="C181" s="26" t="s">
        <v>219</v>
      </c>
      <c r="D181" s="26" t="s">
        <v>56</v>
      </c>
      <c r="E181" s="26">
        <v>32</v>
      </c>
      <c r="F181" s="26">
        <v>100</v>
      </c>
      <c r="G181" s="26">
        <v>51</v>
      </c>
      <c r="H181" s="26">
        <v>200</v>
      </c>
    </row>
    <row r="182" spans="2:8" ht="15.75" thickBot="1">
      <c r="B182" s="16">
        <v>165</v>
      </c>
      <c r="C182" s="26" t="s">
        <v>220</v>
      </c>
      <c r="D182" s="26" t="s">
        <v>56</v>
      </c>
      <c r="E182" s="26">
        <v>32</v>
      </c>
      <c r="F182" s="26">
        <v>100</v>
      </c>
      <c r="G182" s="26">
        <v>51</v>
      </c>
      <c r="H182" s="26">
        <v>200</v>
      </c>
    </row>
    <row r="183" spans="2:8" ht="15.75" thickBot="1">
      <c r="B183" s="16">
        <v>166</v>
      </c>
      <c r="C183" s="26" t="s">
        <v>221</v>
      </c>
      <c r="D183" s="26" t="s">
        <v>56</v>
      </c>
      <c r="E183" s="26">
        <v>32</v>
      </c>
      <c r="F183" s="26">
        <v>120</v>
      </c>
      <c r="G183" s="26">
        <v>51</v>
      </c>
      <c r="H183" s="26">
        <v>240</v>
      </c>
    </row>
    <row r="213" spans="3:3">
      <c r="C213" s="21" t="s">
        <v>9</v>
      </c>
    </row>
    <row r="214" spans="3:3">
      <c r="C214" s="5" t="s">
        <v>20</v>
      </c>
    </row>
    <row r="215" spans="3:3">
      <c r="C215" s="5" t="s">
        <v>10</v>
      </c>
    </row>
    <row r="216" spans="3:3">
      <c r="C216" s="5" t="s">
        <v>11</v>
      </c>
    </row>
    <row r="217" spans="3:3">
      <c r="C217" s="5" t="s">
        <v>19</v>
      </c>
    </row>
  </sheetData>
  <sortState xmlns:xlrd2="http://schemas.microsoft.com/office/spreadsheetml/2017/richdata2" ref="L14:N47">
    <sortCondition ref="L14:L47"/>
  </sortState>
  <mergeCells count="4">
    <mergeCell ref="B12:B14"/>
    <mergeCell ref="C12:C14"/>
    <mergeCell ref="D12:D14"/>
    <mergeCell ref="L11:L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Instructiuni</vt:lpstr>
      <vt:lpstr>Date generale</vt:lpstr>
      <vt:lpstr>Participant 1</vt:lpstr>
      <vt:lpstr>Participant 2</vt:lpstr>
      <vt:lpstr>Taxe participare</vt:lpstr>
      <vt:lpstr>Decont</vt:lpstr>
      <vt:lpstr>Calcule</vt:lpstr>
      <vt:lpstr>Liste</vt:lpstr>
      <vt:lpstr>'Date generale'!Print_Area</vt:lpstr>
      <vt:lpstr>Decont!Print_Area</vt:lpstr>
      <vt:lpstr>'Participant 1'!Print_Area</vt:lpstr>
      <vt:lpstr>'Participant 2'!Print_Area</vt:lpstr>
      <vt:lpstr>'Taxe participare'!Print_Area</vt:lpstr>
      <vt:lpstr>Decont!Print_Titles</vt:lpstr>
      <vt:lpstr>'Participant 1'!Print_Titles</vt:lpstr>
      <vt:lpstr>'Participant 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Cristina Nelia Negru</dc:creator>
  <cp:lastModifiedBy>ADRNE Piatra-Neamt</cp:lastModifiedBy>
  <cp:lastPrinted>2025-03-24T10:31:35Z</cp:lastPrinted>
  <dcterms:created xsi:type="dcterms:W3CDTF">2015-06-05T18:17:20Z</dcterms:created>
  <dcterms:modified xsi:type="dcterms:W3CDTF">2025-06-13T10:41:31Z</dcterms:modified>
</cp:coreProperties>
</file>