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FS\D_EC\_Activitati\2024\170\240322\"/>
    </mc:Choice>
  </mc:AlternateContent>
  <xr:revisionPtr revIDLastSave="0" documentId="13_ncr:1_{5F84934F-91DF-4722-868B-32E269BDB10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Instructiuni" sheetId="5" r:id="rId1"/>
    <sheet name="Date generale" sheetId="4" r:id="rId2"/>
    <sheet name="Participant 1" sheetId="3" r:id="rId3"/>
    <sheet name="Participant 2" sheetId="9" r:id="rId4"/>
    <sheet name="Liste" sheetId="8" state="hidden" r:id="rId5"/>
    <sheet name="Calcule" sheetId="7" state="hidden" r:id="rId6"/>
    <sheet name="Decont" sheetId="6" r:id="rId7"/>
  </sheets>
  <definedNames>
    <definedName name="_xlnm._FilterDatabase" localSheetId="1" hidden="1">'Date generale'!$B$3:$C$23</definedName>
    <definedName name="_xlnm.Print_Area" localSheetId="1">'Date generale'!$A$1:$C$30</definedName>
    <definedName name="_xlnm.Print_Area" localSheetId="6">Decont!$A$2:$E$47</definedName>
    <definedName name="_xlnm.Print_Area" localSheetId="2">'Participant 1'!$A$1:$E$93</definedName>
    <definedName name="_xlnm.Print_Area" localSheetId="3">'Participant 2'!$A$1:$E$93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6" l="1"/>
  <c r="B3" i="6"/>
  <c r="B5" i="6"/>
  <c r="B14" i="6"/>
  <c r="D14" i="6"/>
  <c r="E10" i="4"/>
  <c r="D10" i="4" s="1"/>
  <c r="D3" i="6" l="1"/>
  <c r="D32" i="6"/>
  <c r="D31" i="6"/>
  <c r="C6" i="9" l="1"/>
  <c r="E89" i="9" s="1"/>
  <c r="B11" i="9"/>
  <c r="C6" i="3"/>
  <c r="E89" i="3" s="1"/>
  <c r="B11" i="3"/>
  <c r="D13" i="6"/>
  <c r="D12" i="6"/>
  <c r="D10" i="6"/>
  <c r="D9" i="6"/>
  <c r="D7" i="6"/>
  <c r="D6" i="6"/>
  <c r="D5" i="6"/>
  <c r="B90" i="3"/>
  <c r="B90" i="9"/>
  <c r="C35" i="6"/>
  <c r="C34" i="6"/>
  <c r="B42" i="6"/>
  <c r="E9" i="4"/>
  <c r="D9" i="4" s="1"/>
  <c r="B25" i="6"/>
  <c r="G30" i="9"/>
  <c r="F30" i="9" s="1"/>
  <c r="B13" i="6"/>
  <c r="B12" i="6"/>
  <c r="B11" i="6"/>
  <c r="D11" i="6"/>
  <c r="B10" i="6"/>
  <c r="B9" i="6"/>
  <c r="B7" i="6"/>
  <c r="B6" i="6"/>
  <c r="F11" i="3"/>
  <c r="F11" i="9"/>
  <c r="G33" i="3"/>
  <c r="F33" i="3" s="1"/>
  <c r="G32" i="3"/>
  <c r="F32" i="3" s="1"/>
  <c r="G31" i="3"/>
  <c r="F31" i="3" s="1"/>
  <c r="G30" i="3"/>
  <c r="F30" i="3" s="1"/>
  <c r="C4" i="7"/>
  <c r="B89" i="3"/>
  <c r="B24" i="6"/>
  <c r="B89" i="9"/>
  <c r="A2" i="9"/>
  <c r="A1" i="9"/>
  <c r="A2" i="3"/>
  <c r="A1" i="3"/>
  <c r="B18" i="6"/>
  <c r="B17" i="6"/>
  <c r="B15" i="6"/>
  <c r="C67" i="3"/>
  <c r="C67" i="9"/>
  <c r="D67" i="9" s="1"/>
  <c r="G42" i="3"/>
  <c r="D42" i="3"/>
  <c r="G51" i="3"/>
  <c r="D51" i="3"/>
  <c r="E67" i="9"/>
  <c r="D50" i="9"/>
  <c r="D41" i="9"/>
  <c r="D42" i="9"/>
  <c r="G42" i="9"/>
  <c r="G51" i="9"/>
  <c r="D51" i="9"/>
  <c r="D36" i="9"/>
  <c r="D45" i="3"/>
  <c r="D13" i="7"/>
  <c r="D12" i="7"/>
  <c r="D11" i="7"/>
  <c r="D10" i="7"/>
  <c r="C13" i="7"/>
  <c r="C12" i="7"/>
  <c r="C11" i="7"/>
  <c r="C10" i="7"/>
  <c r="E34" i="7"/>
  <c r="E35" i="7" s="1"/>
  <c r="E28" i="7"/>
  <c r="E26" i="7"/>
  <c r="E27" i="7"/>
  <c r="E30" i="7" s="1"/>
  <c r="D14" i="7"/>
  <c r="C14" i="7"/>
  <c r="F7" i="9"/>
  <c r="F7" i="3"/>
  <c r="D6" i="7"/>
  <c r="C6" i="7"/>
  <c r="C66" i="9"/>
  <c r="D66" i="9" s="1"/>
  <c r="C65" i="9"/>
  <c r="D63" i="9"/>
  <c r="D62" i="9"/>
  <c r="D61" i="9"/>
  <c r="F61" i="9" s="1"/>
  <c r="C58" i="9"/>
  <c r="D57" i="9"/>
  <c r="F57" i="9" s="1"/>
  <c r="D56" i="9"/>
  <c r="D55" i="9"/>
  <c r="D54" i="9"/>
  <c r="F54" i="9" s="1"/>
  <c r="D53" i="9"/>
  <c r="F53" i="9" s="1"/>
  <c r="G50" i="9"/>
  <c r="G49" i="9"/>
  <c r="D49" i="9"/>
  <c r="B49" i="9"/>
  <c r="G48" i="9"/>
  <c r="D48" i="9"/>
  <c r="G47" i="9"/>
  <c r="F47" i="9" s="1"/>
  <c r="D47" i="9"/>
  <c r="B47" i="9"/>
  <c r="G46" i="9"/>
  <c r="F46" i="9" s="1"/>
  <c r="G45" i="9"/>
  <c r="F45" i="9" s="1"/>
  <c r="D45" i="9"/>
  <c r="G44" i="9"/>
  <c r="F44" i="9" s="1"/>
  <c r="G41" i="9"/>
  <c r="G40" i="9"/>
  <c r="D40" i="9"/>
  <c r="B40" i="9"/>
  <c r="G39" i="9"/>
  <c r="D39" i="9"/>
  <c r="G38" i="9"/>
  <c r="D38" i="9"/>
  <c r="B38" i="9"/>
  <c r="G37" i="9"/>
  <c r="F37" i="9" s="1"/>
  <c r="G36" i="9"/>
  <c r="G35" i="9"/>
  <c r="F35" i="9" s="1"/>
  <c r="G33" i="9"/>
  <c r="F33" i="9" s="1"/>
  <c r="G32" i="9"/>
  <c r="F32" i="9" s="1"/>
  <c r="G31" i="9"/>
  <c r="F31" i="9" s="1"/>
  <c r="G28" i="9"/>
  <c r="F28" i="9" s="1"/>
  <c r="G27" i="9"/>
  <c r="F27" i="9" s="1"/>
  <c r="G26" i="9"/>
  <c r="F26" i="9" s="1"/>
  <c r="G25" i="9"/>
  <c r="F25" i="9" s="1"/>
  <c r="G23" i="9"/>
  <c r="F23" i="9" s="1"/>
  <c r="G22" i="9"/>
  <c r="F22" i="9" s="1"/>
  <c r="G20" i="9"/>
  <c r="F20" i="9" s="1"/>
  <c r="F14" i="9"/>
  <c r="F13" i="9"/>
  <c r="A7" i="9"/>
  <c r="A8" i="9" s="1"/>
  <c r="A9" i="9" s="1"/>
  <c r="A10" i="9" s="1"/>
  <c r="A11" i="9" s="1"/>
  <c r="A13" i="9" s="1"/>
  <c r="A14" i="9" s="1"/>
  <c r="A16" i="9" s="1"/>
  <c r="A17" i="9" s="1"/>
  <c r="A18" i="9" s="1"/>
  <c r="A20" i="9" s="1"/>
  <c r="A22" i="9" s="1"/>
  <c r="A23" i="9" s="1"/>
  <c r="A25" i="9" s="1"/>
  <c r="A26" i="9" s="1"/>
  <c r="A27" i="9" s="1"/>
  <c r="A28" i="9" s="1"/>
  <c r="A30" i="9" s="1"/>
  <c r="A31" i="9" s="1"/>
  <c r="A32" i="9" s="1"/>
  <c r="A33" i="9" s="1"/>
  <c r="A35" i="9" s="1"/>
  <c r="A36" i="9" s="1"/>
  <c r="A37" i="9" s="1"/>
  <c r="A38" i="9" s="1"/>
  <c r="A39" i="9" s="1"/>
  <c r="A40" i="9" s="1"/>
  <c r="A41" i="9" s="1"/>
  <c r="D36" i="3"/>
  <c r="D40" i="3"/>
  <c r="D39" i="3"/>
  <c r="D38" i="3"/>
  <c r="D49" i="3"/>
  <c r="D48" i="3"/>
  <c r="D47" i="3"/>
  <c r="D3" i="7"/>
  <c r="E3" i="7" s="1"/>
  <c r="D2" i="7"/>
  <c r="E2" i="7" s="1"/>
  <c r="F13" i="3"/>
  <c r="F14" i="3"/>
  <c r="D63" i="3"/>
  <c r="D62" i="3"/>
  <c r="D61" i="3"/>
  <c r="F61" i="3" s="1"/>
  <c r="D57" i="3"/>
  <c r="F57" i="3" s="1"/>
  <c r="D56" i="3"/>
  <c r="D55" i="3"/>
  <c r="D54" i="3"/>
  <c r="F54" i="3" s="1"/>
  <c r="D53" i="3"/>
  <c r="F53" i="3" s="1"/>
  <c r="E17" i="4"/>
  <c r="D17" i="4" s="1"/>
  <c r="E16" i="4"/>
  <c r="D16" i="4" s="1"/>
  <c r="C66" i="3"/>
  <c r="D66" i="3" s="1"/>
  <c r="C65" i="3"/>
  <c r="D65" i="3" s="1"/>
  <c r="G40" i="3"/>
  <c r="G49" i="3"/>
  <c r="F49" i="3" s="1"/>
  <c r="G48" i="3"/>
  <c r="F48" i="3" s="1"/>
  <c r="G47" i="3"/>
  <c r="G46" i="3"/>
  <c r="F46" i="3" s="1"/>
  <c r="B49" i="3"/>
  <c r="B47" i="3"/>
  <c r="G38" i="3"/>
  <c r="G39" i="3"/>
  <c r="B40" i="3"/>
  <c r="B38" i="3"/>
  <c r="G37" i="3"/>
  <c r="F37" i="3" s="1"/>
  <c r="G36" i="3"/>
  <c r="G45" i="3"/>
  <c r="F45" i="3" s="1"/>
  <c r="G23" i="3"/>
  <c r="F23" i="3" s="1"/>
  <c r="G22" i="3"/>
  <c r="F22" i="3" s="1"/>
  <c r="G50" i="3"/>
  <c r="F50" i="3" s="1"/>
  <c r="G44" i="3"/>
  <c r="F44" i="3" s="1"/>
  <c r="G41" i="3"/>
  <c r="F41" i="3" s="1"/>
  <c r="G35" i="3"/>
  <c r="F35" i="3" s="1"/>
  <c r="G28" i="3"/>
  <c r="F28" i="3" s="1"/>
  <c r="G27" i="3"/>
  <c r="F27" i="3" s="1"/>
  <c r="G26" i="3"/>
  <c r="F26" i="3" s="1"/>
  <c r="G25" i="3"/>
  <c r="F25" i="3" s="1"/>
  <c r="G20" i="3"/>
  <c r="F20" i="3" s="1"/>
  <c r="A7" i="3"/>
  <c r="A8" i="3" s="1"/>
  <c r="A9" i="3" s="1"/>
  <c r="A10" i="3" s="1"/>
  <c r="A11" i="3" s="1"/>
  <c r="A13" i="3" s="1"/>
  <c r="C58" i="3"/>
  <c r="E13" i="4"/>
  <c r="D13" i="4" s="1"/>
  <c r="E12" i="4"/>
  <c r="D12" i="4" s="1"/>
  <c r="E8" i="4"/>
  <c r="D8" i="4" s="1"/>
  <c r="E7" i="4"/>
  <c r="D7" i="4" s="1"/>
  <c r="E6" i="4"/>
  <c r="D6" i="4" s="1"/>
  <c r="E5" i="4"/>
  <c r="D5" i="4" s="1"/>
  <c r="E3" i="4"/>
  <c r="D3" i="4" s="1"/>
  <c r="B13" i="7"/>
  <c r="B12" i="7"/>
  <c r="E22" i="4"/>
  <c r="D22" i="4" s="1"/>
  <c r="E24" i="4"/>
  <c r="D24" i="4" s="1"/>
  <c r="E15" i="4"/>
  <c r="D15" i="4" s="1"/>
  <c r="E18" i="4"/>
  <c r="D18" i="4" s="1"/>
  <c r="E20" i="4"/>
  <c r="D20" i="4" s="1"/>
  <c r="E21" i="4"/>
  <c r="D21" i="4" s="1"/>
  <c r="B11" i="7"/>
  <c r="B10" i="7"/>
  <c r="A4" i="9" l="1"/>
  <c r="A4" i="3"/>
  <c r="C7" i="7"/>
  <c r="C59" i="9"/>
  <c r="C8" i="7"/>
  <c r="C5" i="7"/>
  <c r="E31" i="7"/>
  <c r="E29" i="7"/>
  <c r="F47" i="3"/>
  <c r="F42" i="9"/>
  <c r="F49" i="9"/>
  <c r="F48" i="9"/>
  <c r="F51" i="9"/>
  <c r="A42" i="9"/>
  <c r="A44" i="9" s="1"/>
  <c r="A45" i="9" s="1"/>
  <c r="A46" i="9" s="1"/>
  <c r="A47" i="9" s="1"/>
  <c r="A48" i="9" s="1"/>
  <c r="A49" i="9" s="1"/>
  <c r="A50" i="9" s="1"/>
  <c r="A51" i="9" s="1"/>
  <c r="A53" i="9" s="1"/>
  <c r="A54" i="9" s="1"/>
  <c r="A55" i="9" s="1"/>
  <c r="A56" i="9" s="1"/>
  <c r="A57" i="9" s="1"/>
  <c r="A58" i="9" s="1"/>
  <c r="A59" i="9" s="1"/>
  <c r="A61" i="9" s="1"/>
  <c r="A62" i="9" s="1"/>
  <c r="A63" i="9" s="1"/>
  <c r="A64" i="9" s="1"/>
  <c r="A65" i="9" s="1"/>
  <c r="A66" i="9" s="1"/>
  <c r="A67" i="9" s="1"/>
  <c r="A68" i="9" s="1"/>
  <c r="A69" i="9" s="1"/>
  <c r="F42" i="3"/>
  <c r="F51" i="3"/>
  <c r="D4" i="7"/>
  <c r="D8" i="7" s="1"/>
  <c r="F67" i="9"/>
  <c r="D67" i="3"/>
  <c r="F67" i="3" s="1"/>
  <c r="F36" i="3"/>
  <c r="F41" i="9"/>
  <c r="D23" i="7"/>
  <c r="F50" i="9"/>
  <c r="F39" i="3"/>
  <c r="D26" i="7"/>
  <c r="D29" i="7" s="1"/>
  <c r="D2" i="4"/>
  <c r="D17" i="7"/>
  <c r="D18" i="7" s="1"/>
  <c r="D27" i="7"/>
  <c r="D30" i="7" s="1"/>
  <c r="D21" i="7"/>
  <c r="F17" i="9" s="1"/>
  <c r="D15" i="7"/>
  <c r="D16" i="7" s="1"/>
  <c r="F18" i="9" s="1"/>
  <c r="D34" i="7"/>
  <c r="D35" i="7" s="1"/>
  <c r="D36" i="7" s="1"/>
  <c r="F63" i="9" s="1"/>
  <c r="D20" i="7"/>
  <c r="F16" i="9" s="1"/>
  <c r="D28" i="7"/>
  <c r="F39" i="9"/>
  <c r="F40" i="9"/>
  <c r="F36" i="9"/>
  <c r="D65" i="9"/>
  <c r="F65" i="9" s="1"/>
  <c r="C64" i="9"/>
  <c r="C68" i="9" s="1"/>
  <c r="F38" i="9"/>
  <c r="F66" i="9"/>
  <c r="F65" i="3"/>
  <c r="F38" i="3"/>
  <c r="F40" i="3"/>
  <c r="F66" i="3"/>
  <c r="C64" i="3"/>
  <c r="C17" i="7"/>
  <c r="C18" i="7" s="1"/>
  <c r="C27" i="7"/>
  <c r="C30" i="7" s="1"/>
  <c r="C26" i="7"/>
  <c r="C28" i="7"/>
  <c r="C34" i="7"/>
  <c r="C35" i="7" s="1"/>
  <c r="C23" i="7"/>
  <c r="C15" i="7"/>
  <c r="C16" i="7" s="1"/>
  <c r="F18" i="3" s="1"/>
  <c r="C20" i="7"/>
  <c r="C21" i="7"/>
  <c r="A14" i="3"/>
  <c r="B58" i="9" l="1"/>
  <c r="B58" i="3"/>
  <c r="C8" i="9"/>
  <c r="C8" i="3"/>
  <c r="C10" i="3"/>
  <c r="C19" i="7" s="1"/>
  <c r="C10" i="9"/>
  <c r="D19" i="7" s="1"/>
  <c r="D22" i="7" s="1"/>
  <c r="F55" i="9" s="1"/>
  <c r="C9" i="9"/>
  <c r="C9" i="3"/>
  <c r="C59" i="3"/>
  <c r="C52" i="3"/>
  <c r="C52" i="9"/>
  <c r="D5" i="7"/>
  <c r="E5" i="7" s="1"/>
  <c r="E4" i="7"/>
  <c r="D7" i="7"/>
  <c r="E32" i="7"/>
  <c r="B7" i="7"/>
  <c r="C69" i="9"/>
  <c r="D31" i="7"/>
  <c r="D32" i="7" s="1"/>
  <c r="D33" i="7" s="1"/>
  <c r="F62" i="9" s="1"/>
  <c r="F17" i="3"/>
  <c r="C36" i="7"/>
  <c r="F16" i="3"/>
  <c r="D64" i="9"/>
  <c r="F64" i="9" s="1"/>
  <c r="C68" i="3"/>
  <c r="D64" i="3"/>
  <c r="F64" i="3" s="1"/>
  <c r="C29" i="7"/>
  <c r="C31" i="7"/>
  <c r="A16" i="3"/>
  <c r="A17" i="3" s="1"/>
  <c r="A18" i="3" s="1"/>
  <c r="A20" i="3" s="1"/>
  <c r="D36" i="6"/>
  <c r="C24" i="7" l="1"/>
  <c r="C25" i="7" s="1"/>
  <c r="F56" i="3" s="1"/>
  <c r="D24" i="7"/>
  <c r="D25" i="7" s="1"/>
  <c r="F56" i="9" s="1"/>
  <c r="F4" i="9" s="1"/>
  <c r="B10" i="9"/>
  <c r="B9" i="9"/>
  <c r="B10" i="3"/>
  <c r="B9" i="3"/>
  <c r="C69" i="3"/>
  <c r="B21" i="6" s="1"/>
  <c r="B8" i="7"/>
  <c r="D37" i="7"/>
  <c r="D38" i="7" s="1"/>
  <c r="C22" i="7"/>
  <c r="F55" i="3" s="1"/>
  <c r="F63" i="3"/>
  <c r="C32" i="7"/>
  <c r="A22" i="3"/>
  <c r="A23" i="3" s="1"/>
  <c r="A25" i="3" s="1"/>
  <c r="A26" i="3" s="1"/>
  <c r="A27" i="3" s="1"/>
  <c r="A28" i="3" s="1"/>
  <c r="A30" i="3" s="1"/>
  <c r="A31" i="3" s="1"/>
  <c r="A32" i="3" s="1"/>
  <c r="A33" i="3" s="1"/>
  <c r="A35" i="3" s="1"/>
  <c r="A36" i="3" s="1"/>
  <c r="F36" i="6" l="1"/>
  <c r="F2" i="6" s="1"/>
  <c r="C36" i="6"/>
  <c r="C37" i="7"/>
  <c r="C38" i="7" s="1"/>
  <c r="F4" i="3"/>
  <c r="C33" i="7"/>
  <c r="A37" i="3"/>
  <c r="A38" i="3" s="1"/>
  <c r="A39" i="3" s="1"/>
  <c r="A40" i="3" s="1"/>
  <c r="A41" i="3" s="1"/>
  <c r="A42" i="3" l="1"/>
  <c r="A44" i="3" s="1"/>
  <c r="A45" i="3" s="1"/>
  <c r="A46" i="3" s="1"/>
  <c r="A47" i="3" s="1"/>
  <c r="A48" i="3" s="1"/>
  <c r="A49" i="3" s="1"/>
  <c r="A50" i="3" s="1"/>
  <c r="F62" i="3"/>
  <c r="A51" i="3" l="1"/>
  <c r="A53" i="3" s="1"/>
  <c r="A54" i="3" s="1"/>
  <c r="A55" i="3" s="1"/>
  <c r="A56" i="3" s="1"/>
  <c r="A57" i="3" s="1"/>
  <c r="A58" i="3" s="1"/>
  <c r="A59" i="3" s="1"/>
  <c r="A61" i="3" s="1"/>
  <c r="A62" i="3" s="1"/>
  <c r="A63" i="3" s="1"/>
  <c r="A64" i="3" s="1"/>
  <c r="A65" i="3" s="1"/>
  <c r="A66" i="3" s="1"/>
  <c r="A67" i="3" s="1"/>
  <c r="A68" i="3" s="1"/>
  <c r="A6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Nicolaie Burghelea</author>
  </authors>
  <commentList>
    <comment ref="B3" authorId="0" shapeId="0" xr:uid="{1F785A03-8968-4E19-9D28-6BD5E27250FB}">
      <text>
        <r>
          <rPr>
            <b/>
            <sz val="9"/>
            <color indexed="81"/>
            <rFont val="Segoe UI"/>
            <charset val="1"/>
          </rPr>
          <t>Format dată:
 zz/ll/aaaa
Exemplu de completare: 
nr. 12345 din 22/03/2024</t>
        </r>
      </text>
    </comment>
    <comment ref="B17" authorId="0" shapeId="0" xr:uid="{B958AA9A-AC21-4DFF-B841-58C79ACEA753}">
      <text>
        <r>
          <rPr>
            <b/>
            <sz val="9"/>
            <color indexed="81"/>
            <rFont val="Segoe UI"/>
            <family val="2"/>
          </rPr>
          <t>Format 
zz/ll/aaaa-zz/ll/aaaa</t>
        </r>
      </text>
    </comment>
    <comment ref="B21" authorId="0" shapeId="0" xr:uid="{B69B8D77-27FC-4C24-A1D1-CFCDD29B15B6}">
      <text>
        <r>
          <rPr>
            <b/>
            <sz val="9"/>
            <color indexed="81"/>
            <rFont val="Segoe UI"/>
            <family val="2"/>
          </rPr>
          <t>Localitatea în care s-a defășurat activitatea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Nicolaie Burghelea</author>
    <author>Cristina Nelia Negru</author>
  </authors>
  <commentList>
    <comment ref="B7" authorId="0" shapeId="0" xr:uid="{0CC3F58C-4A69-4587-A4C7-66BA01E8CDE2}">
      <text>
        <r>
          <rPr>
            <b/>
            <sz val="9"/>
            <color indexed="81"/>
            <rFont val="Segoe UI"/>
            <family val="2"/>
          </rPr>
          <t>Categorie participant conf. HG 518/1995</t>
        </r>
      </text>
    </comment>
    <comment ref="B8" authorId="0" shapeId="0" xr:uid="{244094BF-0523-4DA1-ACA7-39ABC8F976D1}">
      <text>
        <r>
          <rPr>
            <b/>
            <sz val="9"/>
            <color indexed="81"/>
            <rFont val="Segoe UI"/>
            <family val="2"/>
          </rPr>
          <t>conf. Anexa HG nr. 518/1995</t>
        </r>
      </text>
    </comment>
    <comment ref="B9" authorId="0" shapeId="0" xr:uid="{529B5055-53B1-4B7E-A413-2F4E6BCD9EF9}">
      <text>
        <r>
          <rPr>
            <b/>
            <sz val="9"/>
            <color indexed="81"/>
            <rFont val="Segoe UI"/>
            <family val="2"/>
          </rPr>
          <t>Conform Anexa HG nr. 518/1995</t>
        </r>
      </text>
    </comment>
    <comment ref="B10" authorId="0" shapeId="0" xr:uid="{D17415F5-1E32-4116-80D0-65E8E24F6697}">
      <text>
        <r>
          <rPr>
            <b/>
            <sz val="9"/>
            <color indexed="81"/>
            <rFont val="Segoe UI"/>
            <family val="2"/>
          </rPr>
          <t>Conform Anexa HG nr. 518/1995</t>
        </r>
      </text>
    </comment>
    <comment ref="B11" authorId="0" shapeId="0" xr:uid="{0D657015-8E65-4444-9C09-C5BADBD973AE}">
      <text>
        <r>
          <rPr>
            <b/>
            <sz val="9"/>
            <color indexed="81"/>
            <rFont val="Segoe UI"/>
            <family val="2"/>
          </rPr>
          <t>Curs valutar comunicat de BNR în ziua lucrătoare anterioară datei depunerii decontului la organizația participantă</t>
        </r>
      </text>
    </comment>
    <comment ref="B13" authorId="0" shapeId="0" xr:uid="{31D70360-B693-4BF9-800E-6649C70D79CC}">
      <text>
        <r>
          <rPr>
            <b/>
            <sz val="9"/>
            <color indexed="81"/>
            <rFont val="Segoe UI"/>
            <family val="2"/>
          </rPr>
          <t xml:space="preserve">Corelat cu documentele justificative (ordin deplasare, etc.)
Format zz/ll/yyyy oo:mm
(zi/luna/an ora/minut)
</t>
        </r>
      </text>
    </comment>
    <comment ref="B14" authorId="0" shapeId="0" xr:uid="{EFAF30D8-429E-4A25-BE64-2E8C2F9C8725}">
      <text>
        <r>
          <rPr>
            <b/>
            <sz val="9"/>
            <color indexed="81"/>
            <rFont val="Segoe UI"/>
            <family val="2"/>
          </rPr>
          <t>Corelat cu documentele justificative
Format zz/ll/yyyy oo:mm
(zi/luna/an ora/minut)</t>
        </r>
      </text>
    </comment>
    <comment ref="B16" authorId="1" shapeId="0" xr:uid="{3FD11BDB-8FED-434E-930F-02F964E8E0C4}">
      <text>
        <r>
          <rPr>
            <b/>
            <sz val="9"/>
            <color indexed="81"/>
            <rFont val="Tahoma"/>
            <family val="2"/>
          </rPr>
          <t>- conform documente justificative 
(Data și ora decolării, conform boarding pass - pentru avion sau conform mențiunii/precizării persoanei delegate în Ordin deplasare/Decont/ alt document justificatv, după caz.) 
- format zz/ll/yyyy oo:mm
(zi/luna/an ora/minut)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1109810A-9ED6-4CA4-8F90-E03A3B0BD0DF}">
      <text>
        <r>
          <rPr>
            <b/>
            <sz val="9"/>
            <color indexed="81"/>
            <rFont val="Segoe UI"/>
            <family val="2"/>
          </rPr>
          <t>idem pct. anterior</t>
        </r>
      </text>
    </comment>
    <comment ref="B18" authorId="1" shapeId="0" xr:uid="{0C378A05-666C-4177-888D-C07AE0885EFE}">
      <text>
        <r>
          <rPr>
            <b/>
            <sz val="9"/>
            <color indexed="81"/>
            <rFont val="Tahoma"/>
            <family val="2"/>
          </rPr>
          <t>Data depunerii decontului la organizația participantă, la întoarcerea din deplasare 
(anterioară transmiterii documentelor la ADR Nord-Est, pentru decontare)
Pentru depunerea decontului în aceeași zi cu data întoarcerii din delegație utilizați formatul cu inclusiv ora și minutul
Format zi/lună/an (zz/ll/aaaa)</t>
        </r>
      </text>
    </comment>
    <comment ref="B20" authorId="0" shapeId="0" xr:uid="{862CEF64-4CC2-4BB8-932D-796677AF670C}">
      <text>
        <r>
          <rPr>
            <b/>
            <sz val="9"/>
            <color indexed="81"/>
            <rFont val="Segoe UI"/>
            <family val="2"/>
          </rPr>
          <t>Nu include transportul la și de la aeroport (dacă este cazul), menționat distinct, mai jos.</t>
        </r>
      </text>
    </comment>
    <comment ref="B36" authorId="0" shapeId="0" xr:uid="{F2299C81-B06B-4577-9623-31BF8FE97E31}">
      <text>
        <r>
          <rPr>
            <b/>
            <sz val="9"/>
            <color indexed="81"/>
            <rFont val="Segoe UI"/>
            <family val="2"/>
          </rPr>
          <t>conform www.distanta.ro
(Distanța rutieră, în Km, parcursă către aeroportul de plecare)</t>
        </r>
      </text>
    </comment>
    <comment ref="B38" authorId="0" shapeId="0" xr:uid="{118DD99F-9215-479D-BDE4-FBCA353B0E6F}">
      <text>
        <r>
          <rPr>
            <b/>
            <sz val="9"/>
            <color indexed="81"/>
            <rFont val="Segoe UI"/>
            <family val="2"/>
          </rPr>
          <t>Pentru energie electrică: consumul WLTP în kW/h, conform specificaților tehnice date de producător (carte tehnică)
Pentru benzină/motorină: 7,5 litri/100Km</t>
        </r>
      </text>
    </comment>
    <comment ref="B45" authorId="0" shapeId="0" xr:uid="{1E92CD03-B6BC-402F-8E33-959868E0A16F}">
      <text>
        <r>
          <rPr>
            <b/>
            <sz val="9"/>
            <color indexed="81"/>
            <rFont val="Segoe UI"/>
            <family val="2"/>
          </rPr>
          <t>conform www.distanta.ro
(Distanța rutieră, în Km, parcursă de la aeroportul de sosire, la întoarcere)</t>
        </r>
      </text>
    </comment>
    <comment ref="B47" authorId="0" shapeId="0" xr:uid="{14805A6E-3496-45B8-A0E6-A24EA3E93938}">
      <text>
        <r>
          <rPr>
            <b/>
            <sz val="9"/>
            <color indexed="81"/>
            <rFont val="Segoe UI"/>
            <family val="2"/>
          </rPr>
          <t>Pentru energie electrică: consumul WLTP în kW/h, conform specificaților tehnice date de producător
Pentru benzină/motorină: 7,5 litri/100Km</t>
        </r>
      </text>
    </comment>
    <comment ref="B57" authorId="0" shapeId="0" xr:uid="{F206B557-4FAF-4FD0-A715-3F85E9DBD809}">
      <text>
        <r>
          <rPr>
            <b/>
            <sz val="9"/>
            <color indexed="81"/>
            <rFont val="Segoe UI"/>
            <family val="2"/>
          </rPr>
          <t>Echivalent în valuta de decontare, dacă este cazul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Nicolaie Burghelea</author>
    <author>Cristina Nelia Negru</author>
  </authors>
  <commentList>
    <comment ref="B7" authorId="0" shapeId="0" xr:uid="{D162E9DD-FDE1-48A9-8910-FDA4681E6C14}">
      <text>
        <r>
          <rPr>
            <b/>
            <sz val="9"/>
            <color indexed="81"/>
            <rFont val="Segoe UI"/>
            <family val="2"/>
          </rPr>
          <t>Categorie participant conf. HG 518/1995</t>
        </r>
      </text>
    </comment>
    <comment ref="B8" authorId="0" shapeId="0" xr:uid="{7DBB84DE-CE9D-489F-B69C-841C228F6243}">
      <text>
        <r>
          <rPr>
            <b/>
            <sz val="9"/>
            <color indexed="81"/>
            <rFont val="Segoe UI"/>
            <family val="2"/>
          </rPr>
          <t>conf. Anexa HG nr. 518/1995</t>
        </r>
      </text>
    </comment>
    <comment ref="B9" authorId="0" shapeId="0" xr:uid="{E9083F48-761F-495B-9132-36EABAA53F43}">
      <text>
        <r>
          <rPr>
            <b/>
            <sz val="9"/>
            <color indexed="81"/>
            <rFont val="Segoe UI"/>
            <family val="2"/>
          </rPr>
          <t>Conform Anexa HG nr. 518/1995</t>
        </r>
      </text>
    </comment>
    <comment ref="B10" authorId="0" shapeId="0" xr:uid="{41CA5C30-B880-4DA8-B23E-1E49D8C1C1DC}">
      <text>
        <r>
          <rPr>
            <b/>
            <sz val="9"/>
            <color indexed="81"/>
            <rFont val="Segoe UI"/>
            <family val="2"/>
          </rPr>
          <t>Conform Anexa HG nr. 518/1995</t>
        </r>
      </text>
    </comment>
    <comment ref="B11" authorId="0" shapeId="0" xr:uid="{56A21157-CB96-4B84-A522-DA4F950F2BDA}">
      <text>
        <r>
          <rPr>
            <b/>
            <sz val="9"/>
            <color indexed="81"/>
            <rFont val="Segoe UI"/>
            <family val="2"/>
          </rPr>
          <t>Curs valutar comunicat de BNR în ziua lucrătoare anterioară datei depunerii decontului la organizația participantă</t>
        </r>
      </text>
    </comment>
    <comment ref="B13" authorId="0" shapeId="0" xr:uid="{DD125264-8B3C-4470-AF54-CC6E69898CE1}">
      <text>
        <r>
          <rPr>
            <b/>
            <sz val="9"/>
            <color indexed="81"/>
            <rFont val="Segoe UI"/>
            <family val="2"/>
          </rPr>
          <t xml:space="preserve">Corelat cu documentele justificative (ordin deplasare, etc.)
Format zz/ll/yyyy oo:mm
(zi/luna/an ora/minut)
</t>
        </r>
      </text>
    </comment>
    <comment ref="B14" authorId="0" shapeId="0" xr:uid="{5C4DB603-694A-4832-B660-AC619CA08110}">
      <text>
        <r>
          <rPr>
            <b/>
            <sz val="9"/>
            <color indexed="81"/>
            <rFont val="Segoe UI"/>
            <family val="2"/>
          </rPr>
          <t>Corelat cu documentele justificative
Format zz/ll/yyyy oo:mm
(zi/luna/an ora/minut)</t>
        </r>
      </text>
    </comment>
    <comment ref="B16" authorId="1" shapeId="0" xr:uid="{1CA3510D-9536-44FD-A7ED-F96C604AC76E}">
      <text>
        <r>
          <rPr>
            <b/>
            <sz val="9"/>
            <color indexed="81"/>
            <rFont val="Tahoma"/>
            <family val="2"/>
          </rPr>
          <t>- conform documente justificative 
(Data și ora decolării, conform boarding pass - pentru avion sau conform mențiunii/precizării persoanei delegate în Ordin deplasare/Decont/ alt document justificatv, după caz.) 
- format zz/ll/yyyy oo:mm
(zi/luna/an ora/minut)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1425B7E5-EBA5-4E1A-B19D-EA838D4B498A}">
      <text>
        <r>
          <rPr>
            <b/>
            <sz val="9"/>
            <color indexed="81"/>
            <rFont val="Segoe UI"/>
            <family val="2"/>
          </rPr>
          <t>idem pct. anterior</t>
        </r>
      </text>
    </comment>
    <comment ref="B18" authorId="1" shapeId="0" xr:uid="{60A74E90-F3A2-4646-94F5-4606C06D5823}">
      <text>
        <r>
          <rPr>
            <b/>
            <sz val="9"/>
            <color indexed="81"/>
            <rFont val="Tahoma"/>
            <family val="2"/>
          </rPr>
          <t>Data depunerii decontului la organizația participantă, la întoarcerea din deplasare 
(anterioară transmiterii documentelor la ADR Nord-Est, pentru decontare)
Pentru depunerea decontului în aceeași zi cu data întoarcerii din delegație utilizați formatul cu inclusiv ora și minutul
Format zi/lună/an (zz/ll/aaaa)</t>
        </r>
      </text>
    </comment>
    <comment ref="B20" authorId="0" shapeId="0" xr:uid="{064744AD-0901-4059-942C-0342709BE85F}">
      <text>
        <r>
          <rPr>
            <b/>
            <sz val="9"/>
            <color indexed="81"/>
            <rFont val="Segoe UI"/>
            <family val="2"/>
          </rPr>
          <t>Nu include transportul la și de la aeroport (dacă este cazul), menționat distinct, mai jos.</t>
        </r>
      </text>
    </comment>
    <comment ref="B36" authorId="0" shapeId="0" xr:uid="{6DE637ED-E79C-488E-A531-8D05F6F1EB17}">
      <text>
        <r>
          <rPr>
            <b/>
            <sz val="9"/>
            <color indexed="81"/>
            <rFont val="Segoe UI"/>
            <family val="2"/>
          </rPr>
          <t>conform www.distanta.ro
(Distanța rutieră, în Km, parcursă către aeroportul de plecare)</t>
        </r>
      </text>
    </comment>
    <comment ref="B38" authorId="0" shapeId="0" xr:uid="{69FEA4E4-67E8-42CA-AEC3-8D5B24D89466}">
      <text>
        <r>
          <rPr>
            <b/>
            <sz val="9"/>
            <color indexed="81"/>
            <rFont val="Segoe UI"/>
            <family val="2"/>
          </rPr>
          <t>Pentru energie electrică: consumul WLTP în kW/h, conform specificaților tehnice date de producător (carte tehnică)
Pentru benzină/motorină: 7,5 litri/100Km</t>
        </r>
      </text>
    </comment>
    <comment ref="B45" authorId="0" shapeId="0" xr:uid="{426F09F3-17DC-4278-9E5A-593AC78E80DE}">
      <text>
        <r>
          <rPr>
            <b/>
            <sz val="9"/>
            <color indexed="81"/>
            <rFont val="Segoe UI"/>
            <family val="2"/>
          </rPr>
          <t>conform www.distanta.ro
(Distanța rutieră, în Km, parcursă de la aeroportul de sosire, la întoarcere)</t>
        </r>
      </text>
    </comment>
    <comment ref="B47" authorId="0" shapeId="0" xr:uid="{7B5095E5-81AE-4843-8876-E5D9B1172E85}">
      <text>
        <r>
          <rPr>
            <b/>
            <sz val="9"/>
            <color indexed="81"/>
            <rFont val="Segoe UI"/>
            <family val="2"/>
          </rPr>
          <t>Pentru energie electrică: consumul WLTP în kW/h, conform specificaților tehnice date de producător
Pentru benzină/motorină: 7,5 litri/100Km</t>
        </r>
      </text>
    </comment>
    <comment ref="B57" authorId="0" shapeId="0" xr:uid="{A8D9C37E-B1E5-4A89-B366-33700061A1CE}">
      <text>
        <r>
          <rPr>
            <b/>
            <sz val="9"/>
            <color indexed="81"/>
            <rFont val="Segoe UI"/>
            <family val="2"/>
          </rPr>
          <t>Echivalent în valuta de decontare, dacă este cazul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Nicolaie Burghelea</author>
  </authors>
  <commentList>
    <comment ref="B18" authorId="0" shapeId="0" xr:uid="{1A76BB2F-7768-4095-B57A-0F674FA6FCBF}">
      <text>
        <r>
          <rPr>
            <b/>
            <sz val="9"/>
            <color indexed="81"/>
            <rFont val="Segoe UI"/>
            <charset val="1"/>
          </rPr>
          <t>Număr rotunjit în sus, pe baza căruia este caclulat dreptul la diurnă (externă)</t>
        </r>
      </text>
    </comment>
  </commentList>
</comments>
</file>

<file path=xl/sharedStrings.xml><?xml version="1.0" encoding="utf-8"?>
<sst xmlns="http://schemas.openxmlformats.org/spreadsheetml/2006/main" count="727" uniqueCount="363">
  <si>
    <t>Fișierul conține următoarele sheet-uri:</t>
  </si>
  <si>
    <t xml:space="preserve"> - cheltuieli cu parcarea la aeroport;</t>
  </si>
  <si>
    <t>Suceava</t>
  </si>
  <si>
    <t>Bacău</t>
  </si>
  <si>
    <t>Iași</t>
  </si>
  <si>
    <t>București</t>
  </si>
  <si>
    <t>Cluj-Napoca</t>
  </si>
  <si>
    <t>Avion</t>
  </si>
  <si>
    <t>Tren</t>
  </si>
  <si>
    <t>Data și ora plecării în delegație</t>
  </si>
  <si>
    <t>Răspuns DA/NU</t>
  </si>
  <si>
    <t>DA</t>
  </si>
  <si>
    <t>NU</t>
  </si>
  <si>
    <t>Autoturism</t>
  </si>
  <si>
    <t>Prioritate din program</t>
  </si>
  <si>
    <t>IMPORTANT!</t>
  </si>
  <si>
    <t xml:space="preserve"> - cheltuieli cu asigurarea medicală pentru deplasările în străinătate, altele decât cele prevăzute de lege;</t>
  </si>
  <si>
    <t>Nume și prenume</t>
  </si>
  <si>
    <t>CURS/ACTIVITATE DE INSTRUIRE</t>
  </si>
  <si>
    <t>Sediul (localitatea)</t>
  </si>
  <si>
    <t>Nu este cazul</t>
  </si>
  <si>
    <t>&lt;Selectează&gt;</t>
  </si>
  <si>
    <t>Aeroportul de decolare, la plecarea din țară (localitatea)</t>
  </si>
  <si>
    <t>Aeroportul de aterizare, la întoarcerea în țară (localitatea)</t>
  </si>
  <si>
    <t>Data și ora întoarcerii din delegație</t>
  </si>
  <si>
    <t>Data și ora ieșirii din România</t>
  </si>
  <si>
    <t>Data și ora întoarcerii în România</t>
  </si>
  <si>
    <t>P1 - O regiune mai competitivă, mai inovativă</t>
  </si>
  <si>
    <t>P2 - O regiune mai digitalizată</t>
  </si>
  <si>
    <t>P3 - O regiune durabilă, prietenoasă cu mediul</t>
  </si>
  <si>
    <t>P4 - O regiune cu o mobilitate urbană durabilă</t>
  </si>
  <si>
    <t>P5 - O regiune accesibilă</t>
  </si>
  <si>
    <t>P6 - O regiune educată</t>
  </si>
  <si>
    <t>P7 - O rregiune atractivă</t>
  </si>
  <si>
    <t>Indemnizație de cazare externă</t>
  </si>
  <si>
    <t>Document justificativ</t>
  </si>
  <si>
    <t>Anexăm în format electronic toate documentele justificative aferente deplasării (ordin de deplasare, decont, boarding pass, facturi cazare, dispoziții de plată/ordin de plată, filă registru de casă, extras de cont, etc.) pentru fiecare participant în parte, opisate pe prima pagină a documentului pdf.</t>
  </si>
  <si>
    <t>Fișierele format pdf sunt semnate cu semnătură electronică extinsă, utilizând un certificat digital calificat, de către reprezentantul legal sau împuternicitul acestuia.</t>
  </si>
  <si>
    <t>Documentele în format letric au fost scanate la o rezoluție care să asigure lizibilitatea în format electronic.</t>
  </si>
  <si>
    <t>Reprezentant legal/Împuternicit,</t>
  </si>
  <si>
    <t xml:space="preserve">CIF: </t>
  </si>
  <si>
    <t>IBAN:</t>
  </si>
  <si>
    <t>Vă rugăm virați suma în următoarele conturi :</t>
  </si>
  <si>
    <t>4. Se decontează:</t>
  </si>
  <si>
    <t>5. Nu se decontează:</t>
  </si>
  <si>
    <t>Participant 1</t>
  </si>
  <si>
    <t>Drepturi diurnă (externă)</t>
  </si>
  <si>
    <t>Drepturi indemnizație cazare</t>
  </si>
  <si>
    <t>Mesaj depășire indemnizație cazare</t>
  </si>
  <si>
    <t>Spania</t>
  </si>
  <si>
    <t>TRANSPORT</t>
  </si>
  <si>
    <t>PARTICIPANȚI</t>
  </si>
  <si>
    <t>SPECIFICAȚII</t>
  </si>
  <si>
    <t>DATE</t>
  </si>
  <si>
    <t>Nr. crt.</t>
  </si>
  <si>
    <t>Ţara</t>
  </si>
  <si>
    <t>Valuta</t>
  </si>
  <si>
    <t>Indemnizaţia da deplasare</t>
  </si>
  <si>
    <t>categoria I</t>
  </si>
  <si>
    <t>categoria II</t>
  </si>
  <si>
    <t>diurna</t>
  </si>
  <si>
    <t>indemnizaţie de cazare</t>
  </si>
  <si>
    <t>Afganistan</t>
  </si>
  <si>
    <t>USD</t>
  </si>
  <si>
    <t>Africa de Sud (Republica)</t>
  </si>
  <si>
    <t>Albania</t>
  </si>
  <si>
    <t>euro</t>
  </si>
  <si>
    <t>Algeria</t>
  </si>
  <si>
    <t>Anglia (Regatul Unit al Marii Britanii şi Irlandei de Nord)</t>
  </si>
  <si>
    <t>Angola</t>
  </si>
  <si>
    <t>Antigua şi Barbuda</t>
  </si>
  <si>
    <t>Antile</t>
  </si>
  <si>
    <t>Arabia Saudită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</si>
  <si>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</si>
  <si>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</si>
  <si>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</si>
  <si>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</si>
  <si>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</si>
  <si>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</si>
  <si>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</si>
  <si>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</si>
  <si>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Belarus</t>
  </si>
  <si>
    <t>Belgia</t>
  </si>
  <si>
    <t>Benin</t>
  </si>
  <si>
    <t>Birmania</t>
  </si>
  <si>
    <t>Bolivia</t>
  </si>
  <si>
    <t>Botswana</t>
  </si>
  <si>
    <t>Bosnia şi Herzegovina</t>
  </si>
  <si>
    <t>Brazilia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</si>
  <si>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</si>
  <si>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</si>
  <si>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</si>
  <si>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</si>
  <si>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</si>
  <si>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</si>
  <si>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</si>
  <si>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 (Republica)</t>
  </si>
  <si>
    <t>Centrafricană (Republica)</t>
  </si>
  <si>
    <t>Chile</t>
  </si>
  <si>
    <t>Chineză (Republica Populară)</t>
  </si>
  <si>
    <t>Ciad</t>
  </si>
  <si>
    <t>Cipru</t>
  </si>
  <si>
    <t>Coasta de Fildeş</t>
  </si>
  <si>
    <t>Columbia</t>
  </si>
  <si>
    <t>Congo</t>
  </si>
  <si>
    <t>Coreea de Sud</t>
  </si>
  <si>
    <t>Coreea (RPD)</t>
  </si>
  <si>
    <t>Costa Rica</t>
  </si>
  <si>
    <t>Croaţia</t>
  </si>
  <si>
    <t>Cuba</t>
  </si>
  <si>
    <t>Danemarca</t>
  </si>
  <si>
    <t>Djibouti</t>
  </si>
  <si>
    <t>Dominicană (Republica)</t>
  </si>
  <si>
    <t>Ecuador</t>
  </si>
  <si>
    <t>Egipt</t>
  </si>
  <si>
    <t>Elveţia</t>
  </si>
  <si>
    <t>Emiratele Arabe Unite</t>
  </si>
  <si>
    <t>Estonia</t>
  </si>
  <si>
    <t>Etiopia</t>
  </si>
  <si>
    <t>Fiji</t>
  </si>
  <si>
    <t>Filipine</t>
  </si>
  <si>
    <t>Finlanda</t>
  </si>
  <si>
    <t>Franţa</t>
  </si>
  <si>
    <t>Gabon</t>
  </si>
  <si>
    <t>Gambia</t>
  </si>
  <si>
    <t>Georgia</t>
  </si>
  <si>
    <t>Germania</t>
  </si>
  <si>
    <t>Ghana</t>
  </si>
  <si>
    <t>Grecia</t>
  </si>
  <si>
    <t>Guatemala</t>
  </si>
  <si>
    <t>Guineea</t>
  </si>
  <si>
    <t>Guineea-Bissau</t>
  </si>
  <si>
    <t>Guineea Ecuatorială</t>
  </si>
  <si>
    <t>Guyana</t>
  </si>
  <si>
    <t>Haiti</t>
  </si>
  <si>
    <t>Honduras</t>
  </si>
  <si>
    <t>Hong Kong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</si>
  <si>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</si>
  <si>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</si>
  <si>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</si>
  <si>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</si>
  <si>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</si>
  <si>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</si>
  <si>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</si>
  <si>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</si>
  <si>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</si>
  <si>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Jamaica</t>
  </si>
  <si>
    <t>Japonia</t>
  </si>
  <si>
    <t>Kazahstan</t>
  </si>
  <si>
    <t>Kenya</t>
  </si>
  <si>
    <t>Kârgâzstan</t>
  </si>
  <si>
    <t>Kuwait</t>
  </si>
  <si>
    <t>Laos</t>
  </si>
  <si>
    <t>Lesotho</t>
  </si>
  <si>
    <t>Letonia</t>
  </si>
  <si>
    <t>Liban</t>
  </si>
  <si>
    <t>Liberia</t>
  </si>
  <si>
    <t>Libia</t>
  </si>
  <si>
    <t>Lituania</t>
  </si>
  <si>
    <t>Luxemburg</t>
  </si>
  <si>
    <t>Macedonia</t>
  </si>
  <si>
    <t>Madagascar</t>
  </si>
  <si>
    <t>Malaysia</t>
  </si>
  <si>
    <t>Mali</t>
  </si>
  <si>
    <t>Malta</t>
  </si>
  <si>
    <t>Maroc</t>
  </si>
  <si>
    <t>Mauritania</t>
  </si>
  <si>
    <t>Mauritius</t>
  </si>
  <si>
    <t>Mexic</t>
  </si>
  <si>
    <t>Moldova</t>
  </si>
  <si>
    <t>Mongolia</t>
  </si>
  <si>
    <t>Mozambic</t>
  </si>
  <si>
    <t>Muntenegru</t>
  </si>
  <si>
    <t>Myanmar</t>
  </si>
  <si>
    <t>Namibia</t>
  </si>
  <si>
    <t>Nepal</t>
  </si>
  <si>
    <t>Nicaragua</t>
  </si>
  <si>
    <t>Niger</t>
  </si>
  <si>
    <t>Nigeria</t>
  </si>
  <si>
    <t>Norvegia</t>
  </si>
  <si>
    <t>Noua Zeelandă</t>
  </si>
  <si>
    <t>Olanda</t>
  </si>
  <si>
    <t>Oman</t>
  </si>
  <si>
    <t>Pakistan</t>
  </si>
  <si>
    <t>Panama</t>
  </si>
  <si>
    <t>Papua-Noua Guinee</t>
  </si>
  <si>
    <t>Paraguay</t>
  </si>
  <si>
    <t>Peru</t>
  </si>
  <si>
    <t>Polonia</t>
  </si>
  <si>
    <t>Portugalia</t>
  </si>
  <si>
    <t>Qatar</t>
  </si>
  <si>
    <t>Rwanda</t>
  </si>
  <si>
    <t>Federaţia Rusă</t>
  </si>
  <si>
    <t>Salvador</t>
  </si>
  <si>
    <t>Sao Tome şi Principe</t>
  </si>
  <si>
    <t>San Marino</t>
  </si>
  <si>
    <t>Senegal</t>
  </si>
  <si>
    <t>Serbia</t>
  </si>
  <si>
    <t>Sierra Leone</t>
  </si>
  <si>
    <t>Singapore</t>
  </si>
  <si>
    <t>Siria</t>
  </si>
  <si>
    <t>Slovacia</t>
  </si>
  <si>
    <t>Slovenia</t>
  </si>
  <si>
    <t>Somalia</t>
  </si>
  <si>
    <t>Sri Lanka</t>
  </si>
  <si>
    <t>S.U.A.</t>
  </si>
  <si>
    <t>Sudan</t>
  </si>
  <si>
    <t>Suedia</t>
  </si>
  <si>
    <t>Surinam</t>
  </si>
  <si>
    <t>Tadjikistan</t>
  </si>
  <si>
    <t>Tanzania</t>
  </si>
  <si>
    <t>Taiwan</t>
  </si>
  <si>
    <t>Thailanda</t>
  </si>
  <si>
    <t>Togo</t>
  </si>
  <si>
    <t>Tunisia</t>
  </si>
  <si>
    <t>Turcia</t>
  </si>
  <si>
    <t>Turkmenistan</t>
  </si>
  <si>
    <t>Ucraina</t>
  </si>
  <si>
    <t>Uganda</t>
  </si>
  <si>
    <t>Ungaria</t>
  </si>
  <si>
    <t>Uruguay</t>
  </si>
  <si>
    <t>Uzbekistan</t>
  </si>
  <si>
    <t>Vatican</t>
  </si>
  <si>
    <t>Venezuela</t>
  </si>
  <si>
    <t>Vietnam</t>
  </si>
  <si>
    <t>Yemen</t>
  </si>
  <si>
    <t>Zair</t>
  </si>
  <si>
    <t>Zambia</t>
  </si>
  <si>
    <t>Zimbabwe</t>
  </si>
  <si>
    <t>Categoria I</t>
  </si>
  <si>
    <t>Categoria II</t>
  </si>
  <si>
    <t>_Nu este cazul</t>
  </si>
  <si>
    <t>Indemnizația de cazare se acordă la cost real (cu factură) sau la nivelul din Anexa la HG nr. 518/1995?</t>
  </si>
  <si>
    <t>conf. Anexă HG 518/1995</t>
  </si>
  <si>
    <t>Data</t>
  </si>
  <si>
    <t>dolar SUA</t>
  </si>
  <si>
    <t>(lei)</t>
  </si>
  <si>
    <t>CURSZ_EUR</t>
  </si>
  <si>
    <t>CURSZ_USD</t>
  </si>
  <si>
    <t>Romania</t>
  </si>
  <si>
    <t>Mesaj eroare diurnă</t>
  </si>
  <si>
    <t>Anexa HG 518/1995</t>
  </si>
  <si>
    <t>Categ. Diurnă-HG 518/1995</t>
  </si>
  <si>
    <t>Opțiunea inițială în formular (câmp de calcul)</t>
  </si>
  <si>
    <t>Activitatea s-a defășurat în străinătate?</t>
  </si>
  <si>
    <t>CAZARE</t>
  </si>
  <si>
    <t>Reprezentant legal/împuternicit</t>
  </si>
  <si>
    <t>Participant 2</t>
  </si>
  <si>
    <t>Localitatea</t>
  </si>
  <si>
    <t>Țara (în străinătate)</t>
  </si>
  <si>
    <t>Cheltuieli deplasare cu autoturism?</t>
  </si>
  <si>
    <t>Distanța rutieră (Km)</t>
  </si>
  <si>
    <t>Cheltuieli deplasare cu mijloace transport în comun?</t>
  </si>
  <si>
    <t>Cod unic de identificare (CUI)</t>
  </si>
  <si>
    <t>Drepturi cazare externă (număr nopți):</t>
  </si>
  <si>
    <t>Mesaj eroare ieșire din RO</t>
  </si>
  <si>
    <t>Mesaj eroare întoarcere în RO</t>
  </si>
  <si>
    <t>Acțiunea recomandată în starea prezentă (câmp de calcul, nu e pentru utilizator)</t>
  </si>
  <si>
    <t xml:space="preserve">Taxă participare curs/activitate de instruire   </t>
  </si>
  <si>
    <t>Taxă participare curs/activitate de instruire</t>
  </si>
  <si>
    <t>Cheltuieli cu diurna (externă)</t>
  </si>
  <si>
    <t>Cheltuieli cu indemnizația de delegare</t>
  </si>
  <si>
    <t>Cheltuieli cu alocația de cazare</t>
  </si>
  <si>
    <t>Valoare - lei</t>
  </si>
  <si>
    <t>Valuta de decontare</t>
  </si>
  <si>
    <t>Categoria de diurnă</t>
  </si>
  <si>
    <t xml:space="preserve"> -</t>
  </si>
  <si>
    <t>DURATA DELEGĂRII</t>
  </si>
  <si>
    <t>DURATA EFECTIVĂ A DEPLASĂRII ÎN AFARA ROMÂNIEI</t>
  </si>
  <si>
    <t>Mesaj eroare dată depunerii decont</t>
  </si>
  <si>
    <t>Dată depunere decont</t>
  </si>
  <si>
    <t>Data depunere decont e aceeași cu data întoarcerii din delegație</t>
  </si>
  <si>
    <t>Avion+Tren</t>
  </si>
  <si>
    <r>
      <t xml:space="preserve">DUS - Gara de </t>
    </r>
    <r>
      <rPr>
        <b/>
        <sz val="11"/>
        <color theme="1"/>
        <rFont val="Arial"/>
        <family val="2"/>
      </rPr>
      <t>plecare</t>
    </r>
    <r>
      <rPr>
        <sz val="11"/>
        <color theme="1"/>
        <rFont val="Arial"/>
        <family val="2"/>
      </rPr>
      <t xml:space="preserve"> (localitatea)</t>
    </r>
  </si>
  <si>
    <r>
      <t xml:space="preserve">DUS - Gara de </t>
    </r>
    <r>
      <rPr>
        <b/>
        <sz val="11"/>
        <color theme="1"/>
        <rFont val="Arial"/>
        <family val="2"/>
      </rPr>
      <t>sosire</t>
    </r>
    <r>
      <rPr>
        <sz val="11"/>
        <color theme="1"/>
        <rFont val="Arial"/>
        <family val="2"/>
      </rPr>
      <t xml:space="preserve"> (localitatea)</t>
    </r>
  </si>
  <si>
    <t>ÎNTORS - Gara de plecare (localitatea)</t>
  </si>
  <si>
    <r>
      <t xml:space="preserve">DUS - Localitatea de </t>
    </r>
    <r>
      <rPr>
        <b/>
        <sz val="11"/>
        <color theme="1"/>
        <rFont val="Arial"/>
        <family val="2"/>
      </rPr>
      <t>plecare</t>
    </r>
  </si>
  <si>
    <r>
      <t xml:space="preserve">DUS - Localitatea de </t>
    </r>
    <r>
      <rPr>
        <b/>
        <sz val="11"/>
        <color theme="1"/>
        <rFont val="Arial"/>
        <family val="2"/>
      </rPr>
      <t>sosire</t>
    </r>
  </si>
  <si>
    <r>
      <t xml:space="preserve">ÎNTORS - Localitatea de </t>
    </r>
    <r>
      <rPr>
        <b/>
        <sz val="11"/>
        <color theme="1"/>
        <rFont val="Arial"/>
        <family val="2"/>
      </rPr>
      <t>sosire</t>
    </r>
  </si>
  <si>
    <r>
      <t xml:space="preserve">ÎNTORS - Localitatea de </t>
    </r>
    <r>
      <rPr>
        <b/>
        <sz val="11"/>
        <color theme="1"/>
        <rFont val="Arial"/>
        <family val="2"/>
      </rPr>
      <t>plecare</t>
    </r>
  </si>
  <si>
    <r>
      <t xml:space="preserve">ÎNTORS - Gara de </t>
    </r>
    <r>
      <rPr>
        <b/>
        <sz val="11"/>
        <color theme="1"/>
        <rFont val="Arial"/>
        <family val="2"/>
      </rPr>
      <t>sosire</t>
    </r>
    <r>
      <rPr>
        <sz val="11"/>
        <color theme="1"/>
        <rFont val="Arial"/>
        <family val="2"/>
      </rPr>
      <t xml:space="preserve"> (localitatea)</t>
    </r>
  </si>
  <si>
    <t>Mijlocul de transport</t>
  </si>
  <si>
    <t>Cheltuieli transport - tren</t>
  </si>
  <si>
    <t>Deplasre LA aeroportul de plecare din România</t>
  </si>
  <si>
    <t>Deplasare DE LA aeroportul de întoarcere în România</t>
  </si>
  <si>
    <t>Cheltuieli de transport, cu deplasarea la aeroportul de plecare din România, precum și de la aeroportul de întoarcere în România, din care:</t>
  </si>
  <si>
    <t xml:space="preserve">   - transport public (bilet de avion, tren, autobuz, ș.a.);</t>
  </si>
  <si>
    <t xml:space="preserve">   - combustibil autoturism cu ardere internă alimentat cu benzină sau motorină;</t>
  </si>
  <si>
    <t>Drepturi alocație cazare</t>
  </si>
  <si>
    <t>Drepturi cazare internă (maximal)</t>
  </si>
  <si>
    <t xml:space="preserve">  -  energie electrică - autoturism cu motor electric;</t>
  </si>
  <si>
    <t>Număr minute de delegare în afara RO</t>
  </si>
  <si>
    <t>Număr jumătăți de zi de delegaree în afara RO</t>
  </si>
  <si>
    <t>Număr minute de delegare în RO, înainte de ieșirea din țară</t>
  </si>
  <si>
    <t>Număr minute de delegare în RO, după reîntoarcerea în țară</t>
  </si>
  <si>
    <t>Număr minute de delegare în RO - total</t>
  </si>
  <si>
    <t>Drepturi (număr indemnizații) indemnizație deplasare, înainte de ieșirea din țară</t>
  </si>
  <si>
    <t>Drepturi (număr indemnizații) indemnizație deplasare, din cumularea duratelor mai mici de 12 ore înainte și după</t>
  </si>
  <si>
    <t>Drepturi (număr indemnizații) indemnizație deplasare, după întoarcerea în țară</t>
  </si>
  <si>
    <t>Mesaj alocație cazare</t>
  </si>
  <si>
    <t>Mesaj indemnizație deplasare</t>
  </si>
  <si>
    <t>Drepturi alocație cazare RO - lei/noapte, conf. HG 714/2018</t>
  </si>
  <si>
    <t>Drepturi indemnizație deplasare RO - lei/zi, conf. HG 714/2018</t>
  </si>
  <si>
    <t>Total indemnizații deplasare</t>
  </si>
  <si>
    <t>Tip alimentare</t>
  </si>
  <si>
    <t>Benzină/motorină</t>
  </si>
  <si>
    <t>Energie electrică</t>
  </si>
  <si>
    <t>Mijloc de deplasare</t>
  </si>
  <si>
    <t>Aeroport</t>
  </si>
  <si>
    <t>Valoare bon fiscal alimentare</t>
  </si>
  <si>
    <t>Denumire partener</t>
  </si>
  <si>
    <t>DECONT CHELTUIELI</t>
  </si>
  <si>
    <t>Furnizor formare</t>
  </si>
  <si>
    <t>DJ</t>
  </si>
  <si>
    <t>x</t>
  </si>
  <si>
    <t>Participant 3</t>
  </si>
  <si>
    <t>Specificație</t>
  </si>
  <si>
    <t>Date</t>
  </si>
  <si>
    <t>Valoare bilet/tichet călătorie</t>
  </si>
  <si>
    <t>-</t>
  </si>
  <si>
    <t>Domeniu de intervenție</t>
  </si>
  <si>
    <t>Cheltuieli transport - pe distanța dus-întors între aeroport/gară și locul de cazare</t>
  </si>
  <si>
    <t>Data depunerii decontului la întoarcerea din deplasare</t>
  </si>
  <si>
    <t>Valoare totală a cheltuielilor</t>
  </si>
  <si>
    <t>Suma de control</t>
  </si>
  <si>
    <t>Total cheltuieli</t>
  </si>
  <si>
    <t>Document justificativ 
(denumire furnizor, tip, nr., data)</t>
  </si>
  <si>
    <t>Se completează câte un "sheet"/tabel (decont participant) pentru fiecare persoană.</t>
  </si>
  <si>
    <t>Se completează lista documentelor justificative în tabelul din finalul decontului fiecărui participant.</t>
  </si>
  <si>
    <t>ORGANIZAȚIE/INSTITUȚIE PARTICIPANTĂ</t>
  </si>
  <si>
    <t>DATE GENERALE</t>
  </si>
  <si>
    <t>Perioada de desfășurare</t>
  </si>
  <si>
    <t>Denumire activitate de instruire</t>
  </si>
  <si>
    <t>CHELTUIELI ÎN STRĂINĂTATE:</t>
  </si>
  <si>
    <t>CHELTUIELI ÎN ROMÂNIA:</t>
  </si>
  <si>
    <t>Cod IBAN</t>
  </si>
  <si>
    <t>Suma (lei) :</t>
  </si>
  <si>
    <t>Prioritatea (PR Nord-Est 2021-2027)</t>
  </si>
  <si>
    <t>Valoare totală a cheltuielilor în străinătate, în lei [ (44) * (6) ]</t>
  </si>
  <si>
    <t>TOTAL [ (46) + ... + (49) ] - lei</t>
  </si>
  <si>
    <t>INSTRUCȚIUNI DE COMPLETARE A DECONTULUI</t>
  </si>
  <si>
    <t xml:space="preserve"> - Date generale: pentru introducerea datelor/informațiilor generale privind organizația, participanții și activitatea desfășurată.</t>
  </si>
  <si>
    <t xml:space="preserve"> - Instrucțiuni: cu informații și indicații de completare.</t>
  </si>
  <si>
    <t>Pentru ajutor în introducerea datelor, în timpul completării formularelor sunt afișate atenționări.</t>
  </si>
  <si>
    <t>1. Decontarea cheltuielillor se realizează conform prevederilor acordului de parteneriat.</t>
  </si>
  <si>
    <t>2. Data depunerii decontului la întoarcerea din deplasare este data depunerii, de către participanți, a documentelor la instituția/organizația participantă.</t>
  </si>
  <si>
    <t>3. La completarea datelor de plecare/întoarcere trebuie utilizat formatul de date zz/ll/aaaa oo:mm (zi/lună/an ora:minut).</t>
  </si>
  <si>
    <t xml:space="preserve"> - taxe de participare la curs/activitate de instruire pe baza facturii și a dovezii de plată;</t>
  </si>
  <si>
    <t xml:space="preserve"> - la călătoria cu trenul, după tariful clasei a II-a, pe distanțe de până la 300 km, și după tariful clasei I, pe distanțe mai mari de 300 km, pe baza biletului de călătorie.</t>
  </si>
  <si>
    <t xml:space="preserve"> - la deplasarea cu autoturismul, contravaloarea a 7,5 litri carburant la 100 km parcurși pe distanța cea mai scurtă dintre localitatea de plecare și locul de desfășurare a activității sau localitatea din care urmează să se continue deplasarea cu un alt mijloc de transport (avion, tren), pe baza foii de parcurs și a bonului/bonurilor de alimentare din prima/ultima zi a delegației;</t>
  </si>
  <si>
    <t xml:space="preserve"> - la deplasarea cu autoturismul electric, contravaloarea consumului conform normei de consum WLTP (Worldwide Harmonized Light-Duty Vehicles Test Procedure) din cartea tehnică a mașinii, măsurată în kWh la 100 km parcurși, pe distanța cea mai scurtă dintre localitatea de plecare și locul de desfășurare a activității sau localitatea din care urmează să se continue deplasarea cu un alt mijloc de transport (avion, tren), pe baza foii de parcurs și a bonului/bonurilor de alimentare din prima/ultima zi a delegației.</t>
  </si>
  <si>
    <t xml:space="preserve"> - transportul local extern, altul decat transportul între aeroport/gară și locul de cazare.</t>
  </si>
  <si>
    <t>6. Cheltuielile privind deplasarea unui grup cu un autoturism se decontează o singură dată pentru tot grupul, de către un singur participant.</t>
  </si>
  <si>
    <t>7. Valoare bon fiscal = valoarea bonului fiscal de alimentare din ziua plecării și/sau din ziua întoarcerii, de la o stație de alimentare de pe ruta de deplasare, care are înscris codul fiscal al ADR Nord Est, 11616139.</t>
  </si>
  <si>
    <t>Acord de parteneriat (nr. ... din ... )</t>
  </si>
  <si>
    <t>170 - Îmbunătățirea capacității autorităților responsabile de programe și a organismelor implicate în execuția fondurilor</t>
  </si>
  <si>
    <t>Beneficiar :</t>
  </si>
  <si>
    <t>Elaborat,</t>
  </si>
  <si>
    <t>Aprobat,</t>
  </si>
  <si>
    <t xml:space="preserve"> - Participant 1, Participant 2: pentru introducerea datelor/informațiilor privind documentele și cheltuielile fiecărui participant; fiecare decont participant trebuie transmis în format pdf, semnat electronic.</t>
  </si>
  <si>
    <t xml:space="preserve"> - Decont: în decontul de cheltuieli trebuie completate, la final, numai sumele defalcate pe cod IBAN, celelalte date fiind completate automat, pe baza datelor din sheet-urile anterioare; decontul trebuie transmis în format pdf semnat electronic.</t>
  </si>
  <si>
    <t>Este permisă numai utilizarea semnăturilor electronice obținute cu certificate digitale calificate.</t>
  </si>
  <si>
    <t>Toate cheltuielile solicitate la decontare sunt detaliate în deconturile participanților. Prezentul decont de cheltuieli este însoțit de deconturile fiecărui participant, împreună cu documentele justificative, în format electronic (pdf).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</si>
</sst>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\ [$lei-418]"/>
    <numFmt numFmtId="166" formatCode="#,##0.0000"/>
    <numFmt numFmtId="167" formatCode="dd\.mm\.yyyy"/>
    <numFmt numFmtId="168" formatCode="\(#,##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</font>
    <font>
      <sz val="10"/>
      <name val="Arial Unicode MS"/>
    </font>
    <font>
      <b/>
      <sz val="10"/>
      <color indexed="8"/>
      <name val="Arial Unicode MS"/>
    </font>
    <font>
      <i/>
      <sz val="10"/>
      <color indexed="8"/>
      <name val="Arial Unicode MS"/>
    </font>
    <font>
      <sz val="10"/>
      <color indexed="23"/>
      <name val="Arial Unicode MS"/>
    </font>
    <font>
      <b/>
      <sz val="9"/>
      <color indexed="81"/>
      <name val="Segoe UI"/>
      <charset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76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166" fontId="11" fillId="0" borderId="0" xfId="2" applyNumberFormat="1" applyFont="1"/>
    <xf numFmtId="167" fontId="11" fillId="0" borderId="0" xfId="2" applyNumberFormat="1" applyFont="1"/>
    <xf numFmtId="0" fontId="9" fillId="2" borderId="10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vertical="center" wrapText="1"/>
    </xf>
    <xf numFmtId="0" fontId="0" fillId="2" borderId="0" xfId="0" applyFill="1"/>
    <xf numFmtId="0" fontId="12" fillId="7" borderId="0" xfId="2" applyFont="1" applyFill="1" applyAlignment="1">
      <alignment horizontal="center" vertical="top" wrapText="1"/>
    </xf>
    <xf numFmtId="167" fontId="11" fillId="2" borderId="0" xfId="2" applyNumberFormat="1" applyFont="1" applyFill="1"/>
    <xf numFmtId="166" fontId="11" fillId="2" borderId="0" xfId="2" applyNumberFormat="1" applyFont="1" applyFill="1"/>
    <xf numFmtId="0" fontId="9" fillId="2" borderId="12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4" fontId="16" fillId="0" borderId="2" xfId="1" applyNumberFormat="1" applyFont="1" applyBorder="1" applyAlignment="1" applyProtection="1">
      <alignment horizontal="right" vertical="center"/>
      <protection locked="0"/>
    </xf>
    <xf numFmtId="0" fontId="16" fillId="0" borderId="0" xfId="0" applyFont="1"/>
    <xf numFmtId="4" fontId="16" fillId="0" borderId="2" xfId="1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/>
    <xf numFmtId="0" fontId="16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22" fontId="2" fillId="4" borderId="2" xfId="0" applyNumberFormat="1" applyFont="1" applyFill="1" applyBorder="1" applyAlignment="1">
      <alignment vertical="center" wrapText="1"/>
    </xf>
    <xf numFmtId="14" fontId="2" fillId="4" borderId="2" xfId="0" applyNumberFormat="1" applyFont="1" applyFill="1" applyBorder="1" applyAlignment="1">
      <alignment vertical="center" wrapText="1"/>
    </xf>
    <xf numFmtId="22" fontId="2" fillId="4" borderId="4" xfId="0" applyNumberFormat="1" applyFont="1" applyFill="1" applyBorder="1" applyAlignment="1">
      <alignment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7" fillId="8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8" fontId="16" fillId="4" borderId="0" xfId="0" applyNumberFormat="1" applyFont="1" applyFill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4" borderId="2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8" fillId="5" borderId="0" xfId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16" fillId="4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/>
    </xf>
    <xf numFmtId="4" fontId="16" fillId="4" borderId="2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165" fontId="8" fillId="4" borderId="2" xfId="1" applyNumberFormat="1" applyFont="1" applyFill="1" applyBorder="1" applyAlignment="1">
      <alignment vertical="center"/>
    </xf>
    <xf numFmtId="4" fontId="16" fillId="4" borderId="2" xfId="1" applyNumberFormat="1" applyFont="1" applyFill="1" applyBorder="1" applyAlignment="1">
      <alignment vertical="center"/>
    </xf>
    <xf numFmtId="165" fontId="17" fillId="4" borderId="2" xfId="0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22" fontId="16" fillId="4" borderId="2" xfId="1" applyNumberFormat="1" applyFont="1" applyFill="1" applyBorder="1" applyAlignment="1">
      <alignment horizontal="center" vertical="center"/>
    </xf>
    <xf numFmtId="22" fontId="16" fillId="0" borderId="2" xfId="1" applyNumberFormat="1" applyFont="1" applyBorder="1" applyAlignment="1" applyProtection="1">
      <alignment horizontal="center" vertical="center"/>
      <protection locked="0"/>
    </xf>
    <xf numFmtId="14" fontId="16" fillId="0" borderId="2" xfId="0" applyNumberFormat="1" applyFont="1" applyBorder="1" applyAlignment="1" applyProtection="1">
      <alignment horizontal="center" vertical="center"/>
      <protection locked="0"/>
    </xf>
    <xf numFmtId="0" fontId="16" fillId="8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0" fontId="19" fillId="4" borderId="6" xfId="1" applyFont="1" applyFill="1" applyBorder="1" applyAlignment="1">
      <alignment horizontal="lef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6" fillId="4" borderId="2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2" fontId="0" fillId="4" borderId="4" xfId="0" applyNumberForma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16" fillId="8" borderId="0" xfId="0" applyFont="1" applyFill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6" fillId="0" borderId="2" xfId="0" applyFont="1" applyBorder="1" applyAlignment="1" applyProtection="1">
      <alignment vertical="center" wrapText="1"/>
      <protection locked="0"/>
    </xf>
    <xf numFmtId="0" fontId="8" fillId="4" borderId="2" xfId="1" applyFont="1" applyFill="1" applyBorder="1" applyAlignment="1">
      <alignment horizontal="left" vertical="center" wrapText="1"/>
    </xf>
    <xf numFmtId="0" fontId="0" fillId="4" borderId="7" xfId="0" applyFill="1" applyBorder="1"/>
    <xf numFmtId="1" fontId="0" fillId="4" borderId="4" xfId="0" applyNumberFormat="1" applyFill="1" applyBorder="1" applyAlignment="1">
      <alignment vertical="center" wrapText="1"/>
    </xf>
    <xf numFmtId="164" fontId="0" fillId="0" borderId="0" xfId="0" applyNumberFormat="1"/>
    <xf numFmtId="1" fontId="0" fillId="4" borderId="7" xfId="0" applyNumberFormat="1" applyFill="1" applyBorder="1"/>
    <xf numFmtId="0" fontId="0" fillId="4" borderId="2" xfId="0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>
      <alignment horizont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49" fontId="16" fillId="0" borderId="2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0" fillId="9" borderId="2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65" fontId="21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165" fontId="19" fillId="0" borderId="2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8" borderId="0" xfId="0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64" fontId="16" fillId="10" borderId="2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3FD76E3D-E421-4A84-BF86-8107D483268E}"/>
    <cellStyle name="Normal 3" xfId="2" xr:uid="{49D59954-B36C-4F8B-B2F0-34596882CDBE}"/>
  </cellStyles>
  <dxfs count="4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9E6C-4058-4A0B-9E14-77C090F2F5B9}">
  <sheetPr codeName="Sheet3"/>
  <dimension ref="B1:B26"/>
  <sheetViews>
    <sheetView tabSelected="1" zoomScaleNormal="100" zoomScalePageLayoutView="55" workbookViewId="0">
      <selection activeCell="B1" sqref="B1"/>
    </sheetView>
  </sheetViews>
  <sheetFormatPr defaultRowHeight="13.8"/>
  <cols>
    <col min="1" max="1" width="1.6640625" style="118" customWidth="1"/>
    <col min="2" max="2" width="85" style="118" customWidth="1"/>
    <col min="3" max="16384" width="8.88671875" style="118"/>
  </cols>
  <sheetData>
    <row r="1" spans="2:2" ht="39" customHeight="1">
      <c r="B1" s="137" t="s">
        <v>340</v>
      </c>
    </row>
    <row r="2" spans="2:2">
      <c r="B2" s="101" t="s">
        <v>0</v>
      </c>
    </row>
    <row r="3" spans="2:2">
      <c r="B3" s="101" t="s">
        <v>342</v>
      </c>
    </row>
    <row r="4" spans="2:2" ht="27.6">
      <c r="B4" s="101" t="s">
        <v>341</v>
      </c>
    </row>
    <row r="5" spans="2:2" ht="41.4">
      <c r="B5" s="101" t="s">
        <v>359</v>
      </c>
    </row>
    <row r="6" spans="2:2" ht="41.4">
      <c r="B6" s="101" t="s">
        <v>360</v>
      </c>
    </row>
    <row r="7" spans="2:2" ht="27.6">
      <c r="B7" s="101" t="s">
        <v>343</v>
      </c>
    </row>
    <row r="8" spans="2:2">
      <c r="B8" s="101" t="s">
        <v>327</v>
      </c>
    </row>
    <row r="9" spans="2:2" ht="27.6">
      <c r="B9" s="101" t="s">
        <v>328</v>
      </c>
    </row>
    <row r="10" spans="2:2">
      <c r="B10" s="118" t="s">
        <v>361</v>
      </c>
    </row>
    <row r="12" spans="2:2">
      <c r="B12" s="119" t="s">
        <v>15</v>
      </c>
    </row>
    <row r="13" spans="2:2">
      <c r="B13" s="101" t="s">
        <v>344</v>
      </c>
    </row>
    <row r="14" spans="2:2" ht="27.6">
      <c r="B14" s="101" t="s">
        <v>345</v>
      </c>
    </row>
    <row r="15" spans="2:2" ht="27.6">
      <c r="B15" s="101" t="s">
        <v>346</v>
      </c>
    </row>
    <row r="16" spans="2:2">
      <c r="B16" s="101" t="s">
        <v>43</v>
      </c>
    </row>
    <row r="17" spans="2:2">
      <c r="B17" s="101" t="s">
        <v>347</v>
      </c>
    </row>
    <row r="18" spans="2:2" ht="27.6">
      <c r="B18" s="101" t="s">
        <v>348</v>
      </c>
    </row>
    <row r="19" spans="2:2" ht="69">
      <c r="B19" s="101" t="s">
        <v>349</v>
      </c>
    </row>
    <row r="20" spans="2:2" ht="82.8">
      <c r="B20" s="101" t="s">
        <v>350</v>
      </c>
    </row>
    <row r="21" spans="2:2">
      <c r="B21" s="101" t="s">
        <v>44</v>
      </c>
    </row>
    <row r="22" spans="2:2">
      <c r="B22" s="101" t="s">
        <v>1</v>
      </c>
    </row>
    <row r="23" spans="2:2" ht="27.6">
      <c r="B23" s="101" t="s">
        <v>16</v>
      </c>
    </row>
    <row r="24" spans="2:2">
      <c r="B24" s="101" t="s">
        <v>351</v>
      </c>
    </row>
    <row r="25" spans="2:2" ht="27.6">
      <c r="B25" s="101" t="s">
        <v>352</v>
      </c>
    </row>
    <row r="26" spans="2:2" ht="51" customHeight="1">
      <c r="B26" s="101" t="s">
        <v>353</v>
      </c>
    </row>
  </sheetData>
  <sheetProtection algorithmName="SHA-512" hashValue="Ramd8iIxpQB/D5EItQZ0Lpn8eWGU+wBw/HrfG73TFl5f9w+FNBKGQJLmDyXHl5owGunDsm6XCHtfY66+lA5mjQ==" saltValue="1D76MOz3UhCnFHaonyDuRQ==" spinCount="100000" sheet="1" objects="1" scenarios="1" selectLockedCells="1"/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FEA2-0531-4631-ABCD-4E09D136E286}">
  <sheetPr codeName="Sheet1"/>
  <dimension ref="B1:F2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3.8"/>
  <cols>
    <col min="1" max="1" width="3.109375" style="34" customWidth="1"/>
    <col min="2" max="2" width="36.21875" style="36" customWidth="1"/>
    <col min="3" max="3" width="36.88671875" style="31" customWidth="1"/>
    <col min="4" max="4" width="37.109375" style="34" customWidth="1"/>
    <col min="5" max="6" width="30.21875" style="34" hidden="1" customWidth="1"/>
    <col min="7" max="7" width="30.21875" style="34" customWidth="1"/>
    <col min="8" max="16384" width="8.88671875" style="34"/>
  </cols>
  <sheetData>
    <row r="1" spans="2:6" ht="42.6" customHeight="1">
      <c r="B1" s="154" t="s">
        <v>330</v>
      </c>
      <c r="C1" s="154"/>
    </row>
    <row r="2" spans="2:6" ht="24.6" customHeight="1">
      <c r="B2" s="129" t="s">
        <v>52</v>
      </c>
      <c r="C2" s="130" t="s">
        <v>53</v>
      </c>
      <c r="D2" s="120" t="str">
        <f>IF(TRIM(CONCATENATE(D3,D4,D5,D6,D7,D8,D11,D12,D13,D14,D15,D18,D20,D21,D22,D23,D24,))&lt;&gt;"","Atenționări","")</f>
        <v>Atenționări</v>
      </c>
      <c r="E2" s="86" t="s">
        <v>257</v>
      </c>
      <c r="F2" s="86" t="s">
        <v>243</v>
      </c>
    </row>
    <row r="3" spans="2:6">
      <c r="B3" s="81" t="s">
        <v>354</v>
      </c>
      <c r="C3" s="121"/>
      <c r="D3" s="139" t="str">
        <f>CONCATENATE(IF(AND(E3="&lt;Completează&gt;",C3=""),"&lt;Completează&gt;",""))</f>
        <v>&lt;Completează&gt;</v>
      </c>
      <c r="E3" s="122" t="str">
        <f>IF($C3="","&lt;Completează&gt;","")</f>
        <v>&lt;Completează&gt;</v>
      </c>
    </row>
    <row r="4" spans="2:6">
      <c r="B4" s="152" t="s">
        <v>329</v>
      </c>
      <c r="C4" s="153"/>
      <c r="D4" s="140"/>
    </row>
    <row r="5" spans="2:6">
      <c r="B5" s="64" t="s">
        <v>310</v>
      </c>
      <c r="C5" s="123"/>
      <c r="D5" s="139" t="str">
        <f>CONCATENATE(IF(AND(E5="&lt;Completează&gt;",C5=""),"&lt;Completează&gt;",""))</f>
        <v>&lt;Completează&gt;</v>
      </c>
      <c r="E5" s="122" t="str">
        <f>IF($C5="","&lt;Completează&gt;","")</f>
        <v>&lt;Completează&gt;</v>
      </c>
    </row>
    <row r="6" spans="2:6">
      <c r="B6" s="64" t="s">
        <v>253</v>
      </c>
      <c r="C6" s="123"/>
      <c r="D6" s="139" t="str">
        <f>CONCATENATE(IF(AND(E6="&lt;Completează&gt;"),"&lt;Completează (număr)&gt;",""))</f>
        <v>&lt;Completează (număr)&gt;</v>
      </c>
      <c r="E6" s="122" t="str">
        <f>IF(OR($C6="",ISNUMBER($C6)=FALSE),"&lt;Completează&gt;","")</f>
        <v>&lt;Completează&gt;</v>
      </c>
    </row>
    <row r="7" spans="2:6">
      <c r="B7" s="64" t="s">
        <v>19</v>
      </c>
      <c r="C7" s="123"/>
      <c r="D7" s="139" t="str">
        <f>CONCATENATE(IF(AND(E7="&lt;Completează&gt;"),"&lt;Completează&gt;",""))</f>
        <v>&lt;Completează&gt;</v>
      </c>
      <c r="E7" s="122" t="str">
        <f>IF($C7="","&lt;Completează&gt;","")</f>
        <v>&lt;Completează&gt;</v>
      </c>
    </row>
    <row r="8" spans="2:6">
      <c r="B8" s="98" t="s">
        <v>246</v>
      </c>
      <c r="C8" s="124"/>
      <c r="D8" s="139" t="str">
        <f>CONCATENATE(IF(AND(E8="&lt;Completează&gt;"),"&lt;Completează&gt;",""))</f>
        <v>&lt;Completează&gt;</v>
      </c>
      <c r="E8" s="122" t="str">
        <f>IF($C8="","&lt;Completează&gt;","")</f>
        <v>&lt;Completează&gt;</v>
      </c>
    </row>
    <row r="9" spans="2:6">
      <c r="B9" s="138" t="s">
        <v>335</v>
      </c>
      <c r="C9" s="124"/>
      <c r="D9" s="139" t="str">
        <f>CONCATENATE(IF(AND(E9="&lt;Completează&gt;"),"&lt;Completează&gt;",""))</f>
        <v>&lt;Completează&gt;</v>
      </c>
      <c r="E9" s="122" t="str">
        <f>IF($C9="","&lt;Completează&gt;","")</f>
        <v>&lt;Completează&gt;</v>
      </c>
    </row>
    <row r="10" spans="2:6">
      <c r="B10" s="138" t="s">
        <v>335</v>
      </c>
      <c r="C10" s="124"/>
      <c r="D10" s="139" t="str">
        <f>CONCATENATE(IF(AND(E10="&lt;Completează&gt;"),"&lt;Completează IBAN sau -&gt;",""))</f>
        <v>&lt;Completează IBAN sau -&gt;</v>
      </c>
      <c r="E10" s="122" t="str">
        <f>IF(OR($C10="",C10&lt;&gt;"-"),"&lt;Completează&gt;","")</f>
        <v>&lt;Completează&gt;</v>
      </c>
    </row>
    <row r="11" spans="2:6">
      <c r="B11" s="152" t="s">
        <v>51</v>
      </c>
      <c r="C11" s="153"/>
      <c r="D11" s="140"/>
    </row>
    <row r="12" spans="2:6">
      <c r="B12" s="98" t="s">
        <v>45</v>
      </c>
      <c r="C12" s="125"/>
      <c r="D12" s="139" t="str">
        <f>CONCATENATE(IF(AND(E12="&lt;Completează&gt;"),"&lt;Completează nume și prenume&gt;",""))</f>
        <v>&lt;Completează nume și prenume&gt;</v>
      </c>
      <c r="E12" s="122" t="str">
        <f>IF($C12="","&lt;Completează&gt;","")</f>
        <v>&lt;Completează&gt;</v>
      </c>
    </row>
    <row r="13" spans="2:6">
      <c r="B13" s="98" t="s">
        <v>247</v>
      </c>
      <c r="C13" s="125"/>
      <c r="D13" s="139" t="str">
        <f>CONCATENATE(IF(AND(E13="&lt;Completează&gt;"),"&lt;Completează nume și prenume sau -&gt;",""))</f>
        <v>&lt;Completează nume și prenume sau -&gt;</v>
      </c>
      <c r="E13" s="122" t="str">
        <f>IF($C13="","&lt;Completează&gt;","")</f>
        <v>&lt;Completează&gt;</v>
      </c>
    </row>
    <row r="14" spans="2:6">
      <c r="B14" s="152" t="s">
        <v>18</v>
      </c>
      <c r="C14" s="153"/>
      <c r="D14" s="140"/>
    </row>
    <row r="15" spans="2:6">
      <c r="B15" s="64" t="s">
        <v>332</v>
      </c>
      <c r="C15" s="110"/>
      <c r="D15" s="139" t="str">
        <f>CONCATENATE(IF(AND(E15="&lt;Completează&gt;",C15=""),"&lt;Completează&gt;",""))</f>
        <v>&lt;Completează&gt;</v>
      </c>
      <c r="E15" s="122" t="str">
        <f>IF($C$15="","&lt;Completează&gt;","")</f>
        <v>&lt;Completează&gt;</v>
      </c>
      <c r="F15" s="66"/>
    </row>
    <row r="16" spans="2:6">
      <c r="B16" s="64" t="s">
        <v>312</v>
      </c>
      <c r="C16" s="110"/>
      <c r="D16" s="139" t="str">
        <f>CONCATENATE(IF(AND(E16="&lt;Completează&gt;",C16=""),"&lt;Completează&gt;",""))</f>
        <v>&lt;Completează&gt;</v>
      </c>
      <c r="E16" s="122" t="str">
        <f>IF($C$16="","&lt;Completează&gt;","")</f>
        <v>&lt;Completează&gt;</v>
      </c>
      <c r="F16" s="66"/>
    </row>
    <row r="17" spans="2:6">
      <c r="B17" s="64" t="s">
        <v>331</v>
      </c>
      <c r="C17" s="110"/>
      <c r="D17" s="139" t="str">
        <f>CONCATENATE(IF(AND(E17="&lt;Completează&gt;",C17=""),"&lt;Completează&gt;",""))</f>
        <v>&lt;Completează&gt;</v>
      </c>
      <c r="E17" s="122" t="str">
        <f>IF($C$17="","&lt;Completează&gt;","")</f>
        <v>&lt;Completează&gt;</v>
      </c>
      <c r="F17" s="66"/>
    </row>
    <row r="18" spans="2:6">
      <c r="B18" s="64" t="s">
        <v>337</v>
      </c>
      <c r="C18" s="110"/>
      <c r="D18" s="139" t="str">
        <f>CONCATENATE(IF(E18="&lt;Selectează&gt;","Selectează o prioritate",""),)</f>
        <v>Selectează o prioritate</v>
      </c>
      <c r="E18" s="74" t="str">
        <f>CONCATENATE(IF(AND($C$18=""),"&lt;Selectează&gt;",""),)</f>
        <v>&lt;Selectează&gt;</v>
      </c>
      <c r="F18" s="66"/>
    </row>
    <row r="19" spans="2:6" ht="55.2">
      <c r="B19" s="64" t="s">
        <v>320</v>
      </c>
      <c r="C19" s="64" t="s">
        <v>355</v>
      </c>
      <c r="D19" s="139"/>
      <c r="E19" s="74"/>
      <c r="F19" s="66"/>
    </row>
    <row r="20" spans="2:6">
      <c r="B20" s="64" t="s">
        <v>244</v>
      </c>
      <c r="C20" s="65" t="s">
        <v>11</v>
      </c>
      <c r="D20" s="139" t="str">
        <f>CONCATENATE(IF(E20="&lt;Selectează&gt;","Selectează &lt;Da&gt; sau &lt;Nu&gt;",""),)</f>
        <v/>
      </c>
      <c r="E20" s="74" t="str">
        <f>CONCATENATE(IF(AND($C$20=""),"&lt;Selectează&gt;",""),)</f>
        <v/>
      </c>
      <c r="F20" s="66"/>
    </row>
    <row r="21" spans="2:6">
      <c r="B21" s="64" t="s">
        <v>248</v>
      </c>
      <c r="C21" s="123"/>
      <c r="D21" s="139" t="str">
        <f>CONCATENATE(IF(AND(E21="&lt;Completează&gt;",C21=""),"&lt;Completează&gt;",""),IF(AND(E21="Nu este cazul",C21&lt;&gt;"Nu este cazul"),"Nu este cazul",""))</f>
        <v>&lt;Completează&gt;</v>
      </c>
      <c r="E21" s="122" t="str">
        <f>IF($C$21="","&lt;Completează&gt;","")</f>
        <v>&lt;Completează&gt;</v>
      </c>
      <c r="F21" s="66"/>
    </row>
    <row r="22" spans="2:6">
      <c r="B22" s="64" t="s">
        <v>249</v>
      </c>
      <c r="C22" s="123"/>
      <c r="D22" s="139" t="str">
        <f>E22</f>
        <v>Selectează o țară străină</v>
      </c>
      <c r="E22" s="126" t="str">
        <f>CONCATENATE(IF(AND($C$20="Nu",C22&lt;&gt;"Romania"),"Selectează &lt;Romania&gt;",""),IF(AND($C$20="DA",OR(C22="",C22="Romania")),"Selectează o țară străină",""))</f>
        <v>Selectează o țară străină</v>
      </c>
      <c r="F22" s="66"/>
    </row>
    <row r="23" spans="2:6" hidden="1">
      <c r="B23" s="152" t="s">
        <v>245</v>
      </c>
      <c r="C23" s="153"/>
      <c r="D23" s="117"/>
    </row>
    <row r="24" spans="2:6" ht="41.4" hidden="1">
      <c r="B24" s="127" t="s">
        <v>232</v>
      </c>
      <c r="C24" s="66" t="s">
        <v>233</v>
      </c>
      <c r="D24" s="128" t="str">
        <f>CONCATENATE(IF(AND(E24="&lt;Selectează&gt;",OR(C24="",C24="Nu este cazul")),"Selectează &lt;Cost real (factură)&gt; sau &lt;Conf. Anexă HG 518/1995&gt;",""),IF(AND(E24="Nu este cazul",C24&lt;&gt;"Nu este cazul"),"Selectează &lt;Nu este cazul&gt;",""))</f>
        <v/>
      </c>
      <c r="E24" s="74" t="str">
        <f>CONCATENATE(IF(AND(OR(C24="",C24="Nu este cazul"),OR($C$20="&lt;Selectează&gt;", $C$20="DA")),"&lt;Selectează&gt;",""),IF(AND($C$20="NU"),"Nu este cazul",""))</f>
        <v/>
      </c>
      <c r="F24" s="66"/>
    </row>
  </sheetData>
  <sheetProtection algorithmName="SHA-512" hashValue="u3S855qEMeHvS7YDi1YNfprHT6towk+G1NW4JFrD4uWus00/gz7oeWj6etmgFNlaq9Vb2cbJx8dSaL4dXcL1WA==" saltValue="CD8bgJTGAFi0JOYf6ZeQrw==" spinCount="100000" sheet="1" selectLockedCells="1"/>
  <sortState xmlns:xlrd2="http://schemas.microsoft.com/office/spreadsheetml/2017/richdata2" ref="B50:B55">
    <sortCondition ref="B50:B55"/>
  </sortState>
  <mergeCells count="5">
    <mergeCell ref="B4:C4"/>
    <mergeCell ref="B14:C14"/>
    <mergeCell ref="B23:C23"/>
    <mergeCell ref="B11:C11"/>
    <mergeCell ref="B1:C1"/>
  </mergeCells>
  <conditionalFormatting sqref="D3:D24">
    <cfRule type="containsText" dxfId="39" priority="8" operator="containsText" text="Nu este cazul">
      <formula>NOT(ISERROR(SEARCH("Nu este cazul",D3)))</formula>
    </cfRule>
  </conditionalFormatting>
  <dataValidations count="1">
    <dataValidation type="list" allowBlank="1" showInputMessage="1" showErrorMessage="1" sqref="C24" xr:uid="{8BE7E3F3-E9C2-4EEF-89B7-417D30EE9D9A}">
      <formula1>#REF!</formula1>
    </dataValidation>
  </dataValidations>
  <pageMargins left="0.7" right="0.7" top="0.75" bottom="0.75" header="0.3" footer="0.3"/>
  <pageSetup paperSize="9" orientation="portrait" horizontalDpi="120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5" operator="containsText" id="{CAB51E81-C923-4E15-ADB3-2E85020F138B}">
            <xm:f>NOT(ISERROR(SEARCH(#REF!,B3)))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B3:C18 B19 B20:C23 B24 E24</xm:sqref>
        </x14:conditionalFormatting>
        <x14:conditionalFormatting xmlns:xm="http://schemas.microsoft.com/office/excel/2006/main">
          <x14:cfRule type="containsText" priority="239" operator="containsText" id="{638A4959-1391-4E24-B51A-88406783F4F3}">
            <xm:f>NOT(ISERROR(SEARCH(#REF!,B3)))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40" operator="containsText" id="{0A5F6630-9AAE-4B6C-AE4F-0E9DAA049436}">
            <xm:f>NOT(ISERROR(SEARCH(Liste!$C$214,B3)))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B3:C18 B19 B20:C24 E24:F24</xm:sqref>
        </x14:conditionalFormatting>
        <x14:conditionalFormatting xmlns:xm="http://schemas.microsoft.com/office/excel/2006/main">
          <x14:cfRule type="containsText" priority="247" operator="containsText" id="{0BE88014-48A9-4F65-8C75-69869EBCF361}">
            <xm:f>NOT(ISERROR(SEARCH(#REF!,E18)))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48" operator="containsText" id="{0ACACEB5-BAA2-4B5F-9AE2-4262E315B2BA}">
            <xm:f>NOT(ISERROR(SEARCH(#REF!,E18)))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49" operator="containsText" id="{9368D766-0533-4B7A-9104-2490A824DB1E}">
            <xm:f>NOT(ISERROR(SEARCH(Liste!$C$214,E18)))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E18:E20</xm:sqref>
        </x14:conditionalFormatting>
        <x14:conditionalFormatting xmlns:xm="http://schemas.microsoft.com/office/excel/2006/main">
          <x14:cfRule type="containsText" priority="224" operator="containsText" id="{8FEF3E71-2F08-43F2-967E-1A7D1D0A22C8}">
            <xm:f>NOT(ISERROR(SEARCH(Liste!$C$214,E22)))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251" operator="containsText" id="{3D72C679-B4FB-46A2-A42C-9CDCDA202DBA}">
            <xm:f>NOT(ISERROR(SEARCH(#REF!,F15)))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52" operator="containsText" id="{35D925D4-73A8-4F17-9C6B-95542F28EBBE}">
            <xm:f>NOT(ISERROR(SEARCH(Liste!$C$214,F15)))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F15:F22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5290E6A-96DE-441B-863C-CDDD4395E863}">
          <x14:formula1>
            <xm:f>Liste!$C$17:$C$183</xm:f>
          </x14:formula1>
          <xm:sqref>F22 C22</xm:sqref>
        </x14:dataValidation>
        <x14:dataValidation type="list" allowBlank="1" showInputMessage="1" showErrorMessage="1" xr:uid="{91F39D2D-B4AC-47EC-AED0-2756DD6CE327}">
          <x14:formula1>
            <xm:f>Liste!$C$215:$C$217</xm:f>
          </x14:formula1>
          <xm:sqref>F24</xm:sqref>
        </x14:dataValidation>
        <x14:dataValidation type="list" allowBlank="1" showInputMessage="1" showErrorMessage="1" xr:uid="{26F38345-41BF-4EFB-BB5C-11CBE59A824F}">
          <x14:formula1>
            <xm:f>Liste!$C$215:$C$216</xm:f>
          </x14:formula1>
          <xm:sqref>F20 C20</xm:sqref>
        </x14:dataValidation>
        <x14:dataValidation type="list" allowBlank="1" showInputMessage="1" showErrorMessage="1" xr:uid="{64B90FB0-AA0F-4936-91B1-96A15001B2AD}">
          <x14:formula1>
            <xm:f>Liste!$F$2:$F$8</xm:f>
          </x14:formula1>
          <xm:sqref>F18:F19 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E6BB-E865-40D5-998F-DB3CB3404F90}">
  <sheetPr codeName="Sheet4"/>
  <dimension ref="A1:M90"/>
  <sheetViews>
    <sheetView zoomScaleNormal="100" workbookViewId="0">
      <selection activeCell="C7" sqref="C7"/>
    </sheetView>
  </sheetViews>
  <sheetFormatPr defaultColWidth="8.88671875" defaultRowHeight="13.8"/>
  <cols>
    <col min="1" max="1" width="4.77734375" style="31" customWidth="1"/>
    <col min="2" max="2" width="33.109375" style="36" customWidth="1"/>
    <col min="3" max="3" width="19.6640625" style="31" customWidth="1"/>
    <col min="4" max="4" width="3.77734375" style="31" customWidth="1"/>
    <col min="5" max="5" width="25.88671875" style="31" customWidth="1"/>
    <col min="6" max="6" width="33.21875" style="95" customWidth="1"/>
    <col min="7" max="8" width="17.44140625" style="31" hidden="1" customWidth="1"/>
    <col min="9" max="9" width="17.44140625" style="31" customWidth="1"/>
    <col min="10" max="16384" width="8.88671875" style="31"/>
  </cols>
  <sheetData>
    <row r="1" spans="1:7" ht="15.6">
      <c r="A1" s="103" t="str">
        <f>CONCATENATE("Partener: ",'Date generale'!C5)</f>
        <v xml:space="preserve">Partener: </v>
      </c>
    </row>
    <row r="2" spans="1:7" ht="15.6">
      <c r="A2" s="103" t="str">
        <f>CONCATENATE( "Acord de parteneriat: ",'Date generale'!C3)</f>
        <v xml:space="preserve">Acord de parteneriat: </v>
      </c>
    </row>
    <row r="4" spans="1:7" ht="28.2" customHeight="1">
      <c r="A4" s="155" t="str">
        <f>CONCATENATE("Decont participant - ",C6)</f>
        <v xml:space="preserve">Decont participant - </v>
      </c>
      <c r="B4" s="155"/>
      <c r="C4" s="155"/>
      <c r="D4" s="155"/>
      <c r="E4" s="155"/>
      <c r="F4" s="62" t="str">
        <f>IF(TRIM(CONCATENATE(F6,F7,F9,F10,F12,F13,F14,F15,F16,F17,F18,F11,F19,F20,F21,F22,F23,F24,F25,F26,F29,F30,F31,F34,F35,F36,F37,F38,F39,F40,F41,F42,F43,F44,F45,F46,F47,F48,F49,F50,F51,F53,F54,F55,F56,F63,F64,F65,F66,F67))&lt;&gt;"","Atenționări!","")</f>
        <v>Atenționări!</v>
      </c>
    </row>
    <row r="5" spans="1:7" ht="15.6">
      <c r="A5" s="61"/>
      <c r="B5" s="107" t="s">
        <v>316</v>
      </c>
      <c r="C5" s="91" t="s">
        <v>317</v>
      </c>
      <c r="D5" s="91" t="s">
        <v>313</v>
      </c>
      <c r="E5" s="91" t="s">
        <v>35</v>
      </c>
      <c r="F5" s="92"/>
    </row>
    <row r="6" spans="1:7" ht="35.4" customHeight="1">
      <c r="A6" s="63">
        <v>1</v>
      </c>
      <c r="B6" s="64" t="s">
        <v>17</v>
      </c>
      <c r="C6" s="65" t="str">
        <f>IF('Date generale'!C12&lt;&gt;"",'Date generale'!C12,"")</f>
        <v/>
      </c>
      <c r="D6" s="67" t="s">
        <v>266</v>
      </c>
      <c r="E6" s="67" t="s">
        <v>266</v>
      </c>
      <c r="F6" s="93"/>
    </row>
    <row r="7" spans="1:7">
      <c r="A7" s="63">
        <f>A6+1</f>
        <v>2</v>
      </c>
      <c r="B7" s="64" t="s">
        <v>265</v>
      </c>
      <c r="C7" s="51"/>
      <c r="D7" s="67" t="s">
        <v>266</v>
      </c>
      <c r="E7" s="67" t="s">
        <v>266</v>
      </c>
      <c r="F7" s="77" t="str">
        <f>IF(C7="","&lt;Selectează categoria&gt;","")</f>
        <v>&lt;Selectează categoria&gt;</v>
      </c>
    </row>
    <row r="8" spans="1:7">
      <c r="A8" s="63">
        <f t="shared" ref="A8:A18" si="0">A7+1</f>
        <v>3</v>
      </c>
      <c r="B8" s="64" t="s">
        <v>264</v>
      </c>
      <c r="C8" s="67" t="str">
        <f>IF(Calcule!C5&lt;&gt;0,Calcule!C5,"")</f>
        <v/>
      </c>
      <c r="D8" s="67" t="s">
        <v>266</v>
      </c>
      <c r="E8" s="67" t="s">
        <v>266</v>
      </c>
      <c r="F8" s="93"/>
    </row>
    <row r="9" spans="1:7" ht="27.6">
      <c r="A9" s="63">
        <f t="shared" si="0"/>
        <v>4</v>
      </c>
      <c r="B9" s="68" t="str">
        <f>CONCATENATE(IF('Date generale'!C24="DA","Plafon indemnizație ","Indemnizație "),"cazare/noapte - ",C7," pentru ",'Date generale'!C22," - ",IF(C8&lt;&gt;0,C8,""))</f>
        <v xml:space="preserve">Indemnizație cazare/noapte -  pentru  - </v>
      </c>
      <c r="C9" s="65" t="str">
        <f>IF(Calcule!C7&lt;&gt;0,Calcule!C7,"")</f>
        <v/>
      </c>
      <c r="D9" s="67" t="s">
        <v>266</v>
      </c>
      <c r="E9" s="67" t="s">
        <v>266</v>
      </c>
      <c r="F9" s="93"/>
    </row>
    <row r="10" spans="1:7">
      <c r="A10" s="63">
        <f t="shared" si="0"/>
        <v>5</v>
      </c>
      <c r="B10" s="68" t="str">
        <f>CONCATENATE("Nivel diurnă/zi - ",C7," pentru ",'Date generale'!C22," - ",IF(C8&lt;&gt;0,C8,""))</f>
        <v xml:space="preserve">Nivel diurnă/zi -  pentru  - </v>
      </c>
      <c r="C10" s="65" t="str">
        <f>IF(Calcule!C8&lt;&gt;0,Calcule!C8,"")</f>
        <v/>
      </c>
      <c r="D10" s="67" t="s">
        <v>266</v>
      </c>
      <c r="E10" s="67" t="s">
        <v>266</v>
      </c>
      <c r="F10" s="93"/>
    </row>
    <row r="11" spans="1:7">
      <c r="A11" s="63">
        <f t="shared" si="0"/>
        <v>6</v>
      </c>
      <c r="B11" s="70" t="str">
        <f>IF('Date generale'!C22&lt;&gt;"",CONCATENATE("Curs valutar de decontare - (lei/",VLOOKUP('Date generale'!C22,Liste!C17:H183,2),")",""),"")</f>
        <v/>
      </c>
      <c r="C11" s="175"/>
      <c r="D11" s="67" t="s">
        <v>266</v>
      </c>
      <c r="E11" s="67" t="s">
        <v>266</v>
      </c>
      <c r="F11" s="77" t="str">
        <f>IF(C11="","&lt;Completează&gt;","")</f>
        <v>&lt;Completează&gt;</v>
      </c>
      <c r="G11" s="117"/>
    </row>
    <row r="12" spans="1:7" ht="14.4" customHeight="1">
      <c r="A12" s="156" t="s">
        <v>267</v>
      </c>
      <c r="B12" s="156"/>
      <c r="C12" s="156"/>
      <c r="D12" s="156"/>
      <c r="E12" s="156"/>
      <c r="F12" s="93"/>
    </row>
    <row r="13" spans="1:7">
      <c r="A13" s="63">
        <f>A11+1</f>
        <v>7</v>
      </c>
      <c r="B13" s="70" t="s">
        <v>9</v>
      </c>
      <c r="C13" s="89"/>
      <c r="D13" s="88" t="s">
        <v>314</v>
      </c>
      <c r="E13" s="32"/>
      <c r="F13" s="77" t="str">
        <f>IF(AND(D13="x",E13="")," &lt;Selectează doc.justif.&gt;","")</f>
        <v xml:space="preserve"> &lt;Selectează doc.justif.&gt;</v>
      </c>
      <c r="G13" s="71"/>
    </row>
    <row r="14" spans="1:7">
      <c r="A14" s="63">
        <f t="shared" si="0"/>
        <v>8</v>
      </c>
      <c r="B14" s="70" t="s">
        <v>24</v>
      </c>
      <c r="C14" s="89"/>
      <c r="D14" s="88" t="s">
        <v>314</v>
      </c>
      <c r="E14" s="32"/>
      <c r="F14" s="77" t="str">
        <f>IF(AND(D14="x",E14="")," &lt;Selectează doc.justif.&gt;","")</f>
        <v xml:space="preserve"> &lt;Selectează doc.justif.&gt;</v>
      </c>
      <c r="G14" s="71"/>
    </row>
    <row r="15" spans="1:7" ht="15" customHeight="1">
      <c r="A15" s="156" t="s">
        <v>268</v>
      </c>
      <c r="B15" s="156"/>
      <c r="C15" s="156"/>
      <c r="D15" s="156"/>
      <c r="E15" s="156"/>
      <c r="F15" s="77"/>
      <c r="G15" s="71"/>
    </row>
    <row r="16" spans="1:7">
      <c r="A16" s="63">
        <f>A14+1</f>
        <v>9</v>
      </c>
      <c r="B16" s="70" t="s">
        <v>25</v>
      </c>
      <c r="C16" s="89"/>
      <c r="D16" s="88" t="s">
        <v>314</v>
      </c>
      <c r="E16" s="32"/>
      <c r="F16" s="77" t="str">
        <f>CONCATENATE(Calcule!C20,IF(AND(D16="x",E16="")," &lt;Selectează doc.justif.&gt;",""))</f>
        <v xml:space="preserve"> &lt;Selectează doc.justif.&gt;</v>
      </c>
      <c r="G16" s="71"/>
    </row>
    <row r="17" spans="1:9">
      <c r="A17" s="63">
        <f t="shared" si="0"/>
        <v>10</v>
      </c>
      <c r="B17" s="70" t="s">
        <v>26</v>
      </c>
      <c r="C17" s="89"/>
      <c r="D17" s="88" t="s">
        <v>314</v>
      </c>
      <c r="E17" s="32"/>
      <c r="F17" s="77" t="str">
        <f>CONCATENATE(Calcule!C21,IF(AND(D17="x",E17="")," &lt;Selectează doc.justif.&gt;",""))</f>
        <v xml:space="preserve"> &lt;Selectează doc.justif.&gt;</v>
      </c>
      <c r="G17" s="71"/>
    </row>
    <row r="18" spans="1:9" ht="27.6">
      <c r="A18" s="63">
        <f t="shared" si="0"/>
        <v>11</v>
      </c>
      <c r="B18" s="64" t="s">
        <v>322</v>
      </c>
      <c r="C18" s="90"/>
      <c r="D18" s="88" t="s">
        <v>314</v>
      </c>
      <c r="E18" s="32"/>
      <c r="F18" s="77" t="str">
        <f>CONCATENATE(IF(C18="","&lt;Completează&gt;",""),Calcule!C16,IF(AND(D18="x",E18="")," &lt;Selectează doc.justif.&gt;",""))</f>
        <v>&lt;Completează&gt; &lt;Selectează doc.justif.&gt;</v>
      </c>
      <c r="G18" s="71"/>
    </row>
    <row r="19" spans="1:9" ht="14.4" customHeight="1">
      <c r="A19" s="156" t="s">
        <v>50</v>
      </c>
      <c r="B19" s="156"/>
      <c r="C19" s="157"/>
      <c r="D19" s="72"/>
      <c r="E19" s="72"/>
      <c r="F19" s="77"/>
      <c r="G19" s="71"/>
      <c r="H19" s="34"/>
    </row>
    <row r="20" spans="1:9">
      <c r="A20" s="63">
        <f>A18+1</f>
        <v>12</v>
      </c>
      <c r="B20" s="68" t="s">
        <v>281</v>
      </c>
      <c r="C20" s="51"/>
      <c r="D20" s="67" t="s">
        <v>266</v>
      </c>
      <c r="E20" s="67" t="s">
        <v>266</v>
      </c>
      <c r="F20" s="77" t="str">
        <f>CONCATENATE(IF(G20="&lt;Selectează&gt;","Selectează mijlocul de deplasare",""),IF(AND(G20="Nu este cazul",C20&lt;&gt;"Nu este cazul"),"Selectează &lt;Nu este cazul&gt;",""))</f>
        <v>Selectează mijlocul de deplasare</v>
      </c>
      <c r="G20" s="73" t="str">
        <f>IF(C20="","&lt;Selectează&gt;","")</f>
        <v>&lt;Selectează&gt;</v>
      </c>
      <c r="H20" s="66"/>
    </row>
    <row r="21" spans="1:9" ht="14.4" customHeight="1">
      <c r="A21" s="156" t="s">
        <v>7</v>
      </c>
      <c r="B21" s="156"/>
      <c r="C21" s="157"/>
      <c r="D21" s="72"/>
      <c r="E21" s="72"/>
      <c r="F21" s="77"/>
      <c r="G21" s="34"/>
      <c r="H21" s="34"/>
    </row>
    <row r="22" spans="1:9" ht="27.6">
      <c r="A22" s="63">
        <f>A20+1</f>
        <v>13</v>
      </c>
      <c r="B22" s="68" t="s">
        <v>22</v>
      </c>
      <c r="C22" s="51"/>
      <c r="D22" s="67" t="s">
        <v>266</v>
      </c>
      <c r="E22" s="67" t="s">
        <v>266</v>
      </c>
      <c r="F22" s="77" t="str">
        <f>CONCATENATE(IF(AND(G22="&lt;Selectează&gt;",OR(C22="",C22="Nu este cazul")),"Selectează o localitate",""),IF(AND(G22="Nu este cazul",C22&lt;&gt;"Nu este cazul"),"Selectează &lt;Nu este cazul&gt;",""))</f>
        <v/>
      </c>
      <c r="G22" s="74" t="str">
        <f>CONCATENATE(IF(AND(OR($C$20="Avion",$C$20="Avion+tren"),OR(C22="",C22="Nu este cazul")),"&lt;Selectează&gt;",""),IF(OR($C$20="Tren",$C$20="Autoturism"),"Nu este cazul",""))</f>
        <v/>
      </c>
      <c r="H22" s="66"/>
    </row>
    <row r="23" spans="1:9" ht="27.6">
      <c r="A23" s="63">
        <f>A22+1</f>
        <v>14</v>
      </c>
      <c r="B23" s="68" t="s">
        <v>23</v>
      </c>
      <c r="C23" s="51"/>
      <c r="D23" s="67" t="s">
        <v>266</v>
      </c>
      <c r="E23" s="67" t="s">
        <v>266</v>
      </c>
      <c r="F23" s="77" t="str">
        <f>CONCATENATE(IF(AND(G23="&lt;Selectează&gt;",OR(C23="",C23="Nu este cazul")),"Selectează o localitate",""),IF(AND(G23="Nu este cazul",C23&lt;&gt;"Nu este cazul"),"Selectează &lt;Nu este cazul&gt;",""))</f>
        <v/>
      </c>
      <c r="G23" s="74" t="str">
        <f>CONCATENATE(IF(AND(OR($C$20="Avion",$C$20="Avion+tren"),OR(C23="",C23="Nu este cazul")),"&lt;Selectează&gt;",""),IF(OR($C$20="Tren",$C$20="Autoturism"),"Nu este cazul",""))</f>
        <v/>
      </c>
      <c r="H23" s="66"/>
    </row>
    <row r="24" spans="1:9" ht="14.4" customHeight="1">
      <c r="A24" s="156" t="s">
        <v>8</v>
      </c>
      <c r="B24" s="156"/>
      <c r="C24" s="156"/>
      <c r="D24" s="156"/>
      <c r="E24" s="156"/>
      <c r="F24" s="77"/>
      <c r="G24" s="34"/>
      <c r="H24" s="34"/>
    </row>
    <row r="25" spans="1:9" ht="15" customHeight="1">
      <c r="A25" s="63">
        <f>A23+1</f>
        <v>15</v>
      </c>
      <c r="B25" s="68" t="s">
        <v>273</v>
      </c>
      <c r="C25" s="32"/>
      <c r="D25" s="67" t="s">
        <v>266</v>
      </c>
      <c r="E25" s="67" t="s">
        <v>266</v>
      </c>
      <c r="F25" s="77" t="str">
        <f>CONCATENATE(IF(AND(G25="&lt;Completează&gt;",OR(C25="",C25="Nu este cazul")),"Completează o localitate",""),IF(AND(G25="Nu este cazul",C25&lt;&gt;"Nu este cazul"),"Completează &lt;Nu este cazul&gt;",""))</f>
        <v/>
      </c>
      <c r="G25" s="74" t="str">
        <f>CONCATENATE(IF(AND(OR($C$20="Avion+Tren",$C$20="Tren"),OR(C25="",C25="Nu este cazul")),"&lt;Completează&gt;",""),IF(OR('Participant 1'!$C$20="Avion",'Participant 1'!$C$20="Autoturism"),"Nu este cazul",""))</f>
        <v/>
      </c>
      <c r="H25" s="69"/>
    </row>
    <row r="26" spans="1:9" ht="15" customHeight="1">
      <c r="A26" s="63">
        <f>A25+1</f>
        <v>16</v>
      </c>
      <c r="B26" s="68" t="s">
        <v>274</v>
      </c>
      <c r="C26" s="32"/>
      <c r="D26" s="67" t="s">
        <v>266</v>
      </c>
      <c r="E26" s="67" t="s">
        <v>266</v>
      </c>
      <c r="F26" s="77" t="str">
        <f>CONCATENATE(IF(AND(G26="&lt;Completează&gt;",OR(C26="",C26="Nu este cazul")),"Completează o localitate",""),IF(AND(G26="Nu este cazul",C26&lt;&gt;"Nu este cazul"),"Completează &lt;Nu este cazul&gt;",""))</f>
        <v/>
      </c>
      <c r="G26" s="74" t="str">
        <f>CONCATENATE(IF(AND(OR($C$20="Avion+Tren",$C$20="Tren"),OR(C26="",C26="Nu este cazul")),"&lt;Completează&gt;",""),IF(OR('Participant 1'!$C$20="Avion",'Participant 1'!$C$20="Autoturism"),"Nu este cazul",""))</f>
        <v/>
      </c>
      <c r="H26" s="69"/>
    </row>
    <row r="27" spans="1:9" ht="27.6">
      <c r="A27" s="63">
        <f>A26+1</f>
        <v>17</v>
      </c>
      <c r="B27" s="75" t="s">
        <v>275</v>
      </c>
      <c r="C27" s="32"/>
      <c r="D27" s="67" t="s">
        <v>266</v>
      </c>
      <c r="E27" s="67" t="s">
        <v>266</v>
      </c>
      <c r="F27" s="77" t="str">
        <f>CONCATENATE(IF(AND(G27="&lt;Completează&gt;",OR(C27="",C27="Nu este cazul")),"Completează o localitate",""),IF(AND(G27="Nu este cazul",C27&lt;&gt;"Nu este cazul"),"Completează &lt;Nu este cazul&gt;",""))</f>
        <v/>
      </c>
      <c r="G27" s="74" t="str">
        <f>CONCATENATE(IF(AND(OR($C$20="Avion+Tren",$C$20="Tren"),OR(C27="",C27="Nu este cazul")),"&lt;Completează&gt;",""),IF(OR('Participant 1'!$C$20="Avion",'Participant 1'!$C$20="Autoturism"),"Nu este cazul",""))</f>
        <v/>
      </c>
    </row>
    <row r="28" spans="1:9" ht="27.6">
      <c r="A28" s="63">
        <f>A27+1</f>
        <v>18</v>
      </c>
      <c r="B28" s="68" t="s">
        <v>280</v>
      </c>
      <c r="C28" s="32"/>
      <c r="D28" s="67" t="s">
        <v>266</v>
      </c>
      <c r="E28" s="67" t="s">
        <v>266</v>
      </c>
      <c r="F28" s="77" t="str">
        <f>CONCATENATE(IF(AND(G28="&lt;Completează&gt;",OR(C28="",C28="Nu este cazul")),"Completează o localitate",""),IF(AND(G28="Nu este cazul",C28&lt;&gt;"Nu este cazul"),"Completează &lt;Nu este cazul&gt;",""))</f>
        <v/>
      </c>
      <c r="G28" s="74" t="str">
        <f>CONCATENATE(IF(AND(OR($C$20="Avion+Tren",$C$20="Tren"),OR(C28="",C28="Nu este cazul")),"&lt;Completează&gt;",""),IF(OR('Participant 1'!$C$20="Avion",'Participant 1'!$C$20="Autoturism"),"Nu este cazul",""))</f>
        <v/>
      </c>
    </row>
    <row r="29" spans="1:9" ht="14.4" customHeight="1">
      <c r="A29" s="156" t="s">
        <v>13</v>
      </c>
      <c r="B29" s="156"/>
      <c r="C29" s="156"/>
      <c r="D29" s="156"/>
      <c r="E29" s="156"/>
      <c r="F29" s="77"/>
      <c r="G29" s="34"/>
      <c r="H29" s="34"/>
    </row>
    <row r="30" spans="1:9">
      <c r="A30" s="63">
        <f>A28+1</f>
        <v>19</v>
      </c>
      <c r="B30" s="68" t="s">
        <v>276</v>
      </c>
      <c r="C30" s="32"/>
      <c r="D30" s="67" t="s">
        <v>266</v>
      </c>
      <c r="E30" s="67" t="s">
        <v>266</v>
      </c>
      <c r="F30" s="77" t="str">
        <f>CONCATENATE(IF(AND(G30="&lt;Completează&gt;",OR(C30="",C30="Nu este cazul")),"Completează o localitate",""),IF(AND(G30="Nu este cazul",C30&lt;&gt;"Nu este cazul"),"Copmpletează &lt;Nu este cazul&gt;",""))</f>
        <v/>
      </c>
      <c r="G30" s="74" t="str">
        <f>CONCATENATE(IF(AND('Participant 1'!$C$20="Autoturism",OR(C30="",C30="Nu este cazul")),"&lt;Completează&gt;",""),IF(OR($C$20="Avion",$C$20="Avion+Tren",$C$20="Tren"),"Nu este cazul",""))</f>
        <v/>
      </c>
      <c r="H30" s="69"/>
      <c r="I30" s="117"/>
    </row>
    <row r="31" spans="1:9">
      <c r="A31" s="63">
        <f>A30+1</f>
        <v>20</v>
      </c>
      <c r="B31" s="68" t="s">
        <v>277</v>
      </c>
      <c r="C31" s="32"/>
      <c r="D31" s="67" t="s">
        <v>266</v>
      </c>
      <c r="E31" s="67" t="s">
        <v>266</v>
      </c>
      <c r="F31" s="77" t="str">
        <f>CONCATENATE(IF(AND(G31="&lt;Completează&gt;",OR(C31="",C31="Nu este cazul")),"Completează o localitate",""),IF(AND(G31="Nu este cazul",C31&lt;&gt;"Nu este cazul"),"Copmpletează &lt;Nu este cazul&gt;",""))</f>
        <v/>
      </c>
      <c r="G31" s="74" t="str">
        <f>CONCATENATE(IF(AND('Participant 1'!$C$20="Autoturism",OR(C31="",C31="Nu este cazul")),"&lt;Completează&gt;",""),IF(OR($C$20="Avion",$C$20="Avion+Tren",$C$20="Tren"),"Nu este cazul",""))</f>
        <v/>
      </c>
      <c r="H31" s="69"/>
    </row>
    <row r="32" spans="1:9">
      <c r="A32" s="63">
        <f>A31+1</f>
        <v>21</v>
      </c>
      <c r="B32" s="68" t="s">
        <v>279</v>
      </c>
      <c r="C32" s="32"/>
      <c r="D32" s="67" t="s">
        <v>266</v>
      </c>
      <c r="E32" s="67" t="s">
        <v>266</v>
      </c>
      <c r="F32" s="77" t="str">
        <f>CONCATENATE(IF(AND(G32="&lt;Completează&gt;",OR(C32="",C32="Nu este cazul")),"Completează o localitate",""),IF(AND(G32="Nu este cazul",C32&lt;&gt;"Nu este cazul"),"Copmpletează &lt;Nu este cazul&gt;",""))</f>
        <v/>
      </c>
      <c r="G32" s="74" t="str">
        <f>CONCATENATE(IF(AND('Participant 1'!$C$20="Autoturism",OR(C32="",C32="Nu este cazul")),"&lt;Completează&gt;",""),IF(OR($C$20="Avion",$C$20="Avion+Tren",$C$20="Tren"),"Nu este cazul",""))</f>
        <v/>
      </c>
      <c r="H32" s="69"/>
    </row>
    <row r="33" spans="1:8">
      <c r="A33" s="63">
        <f>A32+1</f>
        <v>22</v>
      </c>
      <c r="B33" s="68" t="s">
        <v>278</v>
      </c>
      <c r="C33" s="32"/>
      <c r="D33" s="67" t="s">
        <v>266</v>
      </c>
      <c r="E33" s="67" t="s">
        <v>266</v>
      </c>
      <c r="F33" s="77" t="str">
        <f>CONCATENATE(IF(AND(G33="&lt;Completează&gt;",OR(C33="",C33="Nu este cazul")),"Completează o localitate",""),IF(AND(G33="Nu este cazul",C33&lt;&gt;"Nu este cazul"),"Copmpletează &lt;Nu este cazul&gt;",""))</f>
        <v/>
      </c>
      <c r="G33" s="74" t="str">
        <f>CONCATENATE(IF(AND('Participant 1'!$C$20="Autoturism",OR(C33="",C33="Nu este cazul")),"&lt;Completează&gt;",""),IF(OR($C$20="Avion",$C$20="Avion+Tren",$C$20="Tren"),"Nu este cazul",""))</f>
        <v/>
      </c>
      <c r="H33" s="69"/>
    </row>
    <row r="34" spans="1:8" ht="14.4" customHeight="1">
      <c r="A34" s="156" t="s">
        <v>283</v>
      </c>
      <c r="B34" s="156"/>
      <c r="C34" s="156"/>
      <c r="D34" s="156"/>
      <c r="E34" s="156"/>
      <c r="F34" s="77"/>
      <c r="G34" s="74"/>
      <c r="H34" s="66"/>
    </row>
    <row r="35" spans="1:8">
      <c r="A35" s="63">
        <f>A33+1</f>
        <v>23</v>
      </c>
      <c r="B35" s="76" t="s">
        <v>250</v>
      </c>
      <c r="C35" s="51"/>
      <c r="D35" s="67" t="s">
        <v>266</v>
      </c>
      <c r="E35" s="67" t="s">
        <v>266</v>
      </c>
      <c r="F35" s="77" t="str">
        <f>CONCATENATE(IF(AND(G35="&lt;Selectează&gt;",OR(C35="",C35="Nu este cazul")),"Selectează &lt;Da&gt; sau &lt;Nu&gt;",""),IF(AND(G35="Nu este cazul",C35&lt;&gt;"Nu este cazul"),"Selectează &lt;Nu este cazul&gt;",""))</f>
        <v/>
      </c>
      <c r="G35" s="74" t="str">
        <f>CONCATENATE(IF(AND(OR($C$20="Avion",$C$20="Avion+Tren"),OR(C35="",C35="Nu este cazul")),"&lt;Selectează&gt;",""),IF(OR($C$20="Tren",'Participant 1'!$C$20="Autoturism"),"Nu este cazul",""))</f>
        <v/>
      </c>
      <c r="H35" s="66"/>
    </row>
    <row r="36" spans="1:8">
      <c r="A36" s="63">
        <f t="shared" ref="A36:A42" si="1">A35+1</f>
        <v>24</v>
      </c>
      <c r="B36" s="78" t="s">
        <v>251</v>
      </c>
      <c r="C36" s="51"/>
      <c r="D36" s="88" t="str">
        <f>IF(C36&lt;&gt;0,"x","-")</f>
        <v>-</v>
      </c>
      <c r="E36" s="32"/>
      <c r="F36" s="77" t="str">
        <f>CONCATENATE(IF(AND(G36="&lt;Introdu distanța&gt;",ISNUMBER(C36)&lt;&gt;TRUE),"&lt;Introdu distanța&gt;",""),IF(AND(G36="Nu este cazul",C36&lt;&gt;"Nu este cazul"),"Completează cu &lt;Nu este cazul&gt;",""),IF(AND(D36="x",E36="")," &lt;Selectează doc.justif.&gt;",""))</f>
        <v/>
      </c>
      <c r="G36" s="74" t="str">
        <f>CONCATENATE(IF(AND(OR($C$20="Avion",$C$20="Avion+Tren"),$C35="DA",ISNUMBER(C36)=FALSE),"&lt;Introdu distanța&gt;",""),IF(AND(OR($C$20="Avion",$C$20="Avion+Tren"),$C35="NU"),"Nu este cazul",""),IF(OR('Participant 1'!$C$20="Tren",'Participant 1'!$C$20="Autoturism"),"Nu este cazul",""))</f>
        <v/>
      </c>
      <c r="H36" s="66"/>
    </row>
    <row r="37" spans="1:8">
      <c r="A37" s="63">
        <f t="shared" si="1"/>
        <v>25</v>
      </c>
      <c r="B37" s="78" t="s">
        <v>304</v>
      </c>
      <c r="C37" s="51"/>
      <c r="D37" s="67" t="s">
        <v>266</v>
      </c>
      <c r="E37" s="67" t="s">
        <v>266</v>
      </c>
      <c r="F37" s="77" t="str">
        <f>CONCATENATE(IF(AND(G37="&lt;Selectează tip alimentare&gt;",OR(C37="",C37="Nu este cazul")),"&lt;Selectează tip alimentare&gt;",""),IF(AND(G37="Nu este cazul",C37&lt;&gt;"Nu este cazul"),"Selectează &lt;Nu este cazul&gt;",""))</f>
        <v/>
      </c>
      <c r="G37" s="74" t="str">
        <f>CONCATENATE(IF(AND(OR($C$20="Avion",$C$20="Avion+Tren"),$C35="DA"),"&lt;Selectează tip alimentare&gt;",""),IF(AND(OR($C$20="Avion",$C$20="Avion+Tren"),$C35="NU"),"Nu este cazul",""),IF(OR('Participant 1'!$C$20="Tren",'Participant 1'!$C$20="Autoturism"),"Nu este cazul",""))</f>
        <v/>
      </c>
      <c r="H37" s="66"/>
    </row>
    <row r="38" spans="1:8">
      <c r="A38" s="63">
        <f t="shared" si="1"/>
        <v>26</v>
      </c>
      <c r="B38" s="78" t="str">
        <f>CONCATENATE("Consum la 100 Km ",IF(C37="Energie electrică","(kWh/100 Km) - WLTP",""),IF(C37="Benzină/motorină","(7,5 litri/100 Km)",""))</f>
        <v xml:space="preserve">Consum la 100 Km </v>
      </c>
      <c r="C38" s="51"/>
      <c r="D38" s="88" t="str">
        <f>IF(OR($C$37="Energie electrică"),"x","-")</f>
        <v>-</v>
      </c>
      <c r="E38" s="32"/>
      <c r="F38" s="77" t="str">
        <f>CONCATENATE(IF(AND(G38="&lt;Introdu consum&gt;",ISNUMBER(C38)&lt;&gt;TRUE),"&lt;Introdu consum&gt;",""),IF(AND(G38="Nu este cazul",C38&lt;&gt;"Nu este cazul"),"Completează cu &lt;Nu este cazul&gt;",""),IF(AND(C37="Benzină/motorină",C38&lt;&gt;7.5),"7,5 litri/100Km",""),IF(AND(D38="x",E38="")," &lt;Selectează doc.justif.&gt;",""))</f>
        <v/>
      </c>
      <c r="G38" s="74" t="str">
        <f>CONCATENATE(IF(AND(OR($C$20="Avion",$C$20="Avion+Tren"),$C35="DA",OR($C$37="Energie electrică",$C$37="Benzină/motorină"),ISNUMBER(C38)=FALSE),"&lt;Introdu consum&gt;",""),IF(AND(OR($C$20="Avion",$C$20="Avion+Tren"),$C35="NU"),"Nu este cazul",""),IF(OR('Participant 1'!$C$20="Tren",'Participant 1'!$C$20="Autoturism"),"Nu este cazul",""))</f>
        <v/>
      </c>
      <c r="H38" s="66"/>
    </row>
    <row r="39" spans="1:8">
      <c r="A39" s="63">
        <f t="shared" si="1"/>
        <v>27</v>
      </c>
      <c r="B39" s="78" t="s">
        <v>309</v>
      </c>
      <c r="C39" s="51"/>
      <c r="D39" s="88" t="str">
        <f>IF(OR($C$37="Benzină/motorină",$C$37="Energie electrică"),"x","-")</f>
        <v>-</v>
      </c>
      <c r="E39" s="32"/>
      <c r="F39" s="77" t="str">
        <f>CONCATENATE(IF(AND(G39="&lt;Introdu valoare&gt;",ISNUMBER(C39)&lt;&gt;TRUE),"&lt;Introdu valoare&gt;",""),IF(AND(G39="Nu este cazul",C39&lt;&gt;"Nu este cazul"),"Completează cu &lt;Nu este cazul&gt;",""),IF(AND(C38="Benzină/motorină",C39&lt;&gt;7.5),"7,5 litri/100Km",""),IF(AND(D39="x",E39="")," &lt;Selectează doc.justif.&gt;",""))</f>
        <v/>
      </c>
      <c r="G39" s="74" t="str">
        <f>CONCATENATE(IF(AND(OR($C$20="Avion",$C$20="Avion+Tren"),$C35="DA",OR($C$37="Energie electrică",$C$37="Benzină/motorină"),ISNUMBER(C39)=FALSE),"&lt;Introdu valoare&gt;",""),IF(AND(OR($C$20="Avion",$C$20="Avion+Tren"),$C35="NU"),"Nu este cazul",""),IF(OR('Participant 1'!$C$20="Tren",'Participant 1'!$C$20="Autoturism"),"Nu este cazul",""))</f>
        <v/>
      </c>
      <c r="H39" s="66"/>
    </row>
    <row r="40" spans="1:8">
      <c r="A40" s="63">
        <f t="shared" si="1"/>
        <v>28</v>
      </c>
      <c r="B40" s="78" t="str">
        <f>CONCATENATE("Preț ",IF(C37="Energie electrică","pe kWh - lei",""),IF(C37="Benzină/motorină","pe litru - lei",""))</f>
        <v xml:space="preserve">Preț </v>
      </c>
      <c r="C40" s="51"/>
      <c r="D40" s="88" t="str">
        <f>IF(OR($C$37="Benzină/motorină",$C$37="Energie electrică"),"x","-")</f>
        <v>-</v>
      </c>
      <c r="E40" s="32"/>
      <c r="F40" s="77" t="str">
        <f>CONCATENATE(IF(AND(G40="&lt;Introdu preț&gt;",ISNUMBER(C40)&lt;&gt;TRUE),"&lt;Introdu preț&gt;",""),IF(AND(G40="Nu este cazul",C40&lt;&gt;"Nu este cazul"),"Completează cu &lt;Nu este cazul&gt;",""),IF(AND(C39="Benzină/motorină",C40&lt;&gt;7.5),"7,5 litri/100Km",""),IF(AND(D40="x",E40="")," &lt;Selectează doc.justif.&gt;",""))</f>
        <v/>
      </c>
      <c r="G40" s="74" t="str">
        <f>CONCATENATE(IF(AND(OR($C$20="Avion",$C$20="Avion+Tren"),$C35="DA",OR($C$37="Energie electrică",$C$37="Benzină/motorină"),ISNUMBER(C40)=FALSE),"&lt;Introdu preț&gt;",""),IF(AND(OR($C$20="Avion",$C$20="Avion+Tren"),$C35="NU"),"Nu este cazul",""),IF(OR('Participant 1'!$C$20="Tren",'Participant 1'!$C$20="Autoturism"),"Nu este cazul",""))</f>
        <v/>
      </c>
      <c r="H40" s="66"/>
    </row>
    <row r="41" spans="1:8" ht="27.6">
      <c r="A41" s="63">
        <f t="shared" si="1"/>
        <v>29</v>
      </c>
      <c r="B41" s="76" t="s">
        <v>252</v>
      </c>
      <c r="C41" s="51"/>
      <c r="D41" s="67" t="s">
        <v>319</v>
      </c>
      <c r="E41" s="67" t="s">
        <v>266</v>
      </c>
      <c r="F41" s="77" t="str">
        <f>CONCATENATE(IF(AND(G41="&lt;Selectează&gt;",OR(C41="",C41="Nu este cazul")),"Selectează &lt;Da&gt; sau &lt;Nu&gt;",""),IF(AND(G41="Nu este cazul",C41&lt;&gt;"Nu este cazul"),"Selectează &lt;Nu este cazul&gt;",""),IF(AND(D41="x",E41="")," &lt;Selectează doc.justif.&gt;",""))</f>
        <v/>
      </c>
      <c r="G41" s="74" t="str">
        <f>CONCATENATE(IF(AND(OR($C$20="Avion",$C$20="Avion+Tren"),OR(C41="",C41="Nu este cazul")),"&lt;Selectează&gt;",""),IF(OR($C$20="Tren",'Participant 1'!$C$20="Autoturism"),"Nu este cazul",""))</f>
        <v/>
      </c>
      <c r="H41" s="66"/>
    </row>
    <row r="42" spans="1:8">
      <c r="A42" s="63">
        <f t="shared" si="1"/>
        <v>30</v>
      </c>
      <c r="B42" s="96" t="s">
        <v>318</v>
      </c>
      <c r="C42" s="51"/>
      <c r="D42" s="88" t="str">
        <f>IF(OR($C$41="DA"),"x","-")</f>
        <v>-</v>
      </c>
      <c r="E42" s="97"/>
      <c r="F42" s="77" t="str">
        <f>CONCATENATE(IF(AND(G42="&lt;Introdu valoare&gt;",ISNUMBER(C42)&lt;&gt;TRUE),"&lt;Introdu valoare&gt;",""),IF(AND(G42="Nu este cazul",C42&lt;&gt;"Nu este cazul"),"Completează cu &lt;Nu este cazul&gt;",""),IF(AND(D42="x",E42="")," &lt;Selectează doc.justif.&gt;",""))</f>
        <v/>
      </c>
      <c r="G42" s="74" t="str">
        <f>CONCATENATE(IF(AND($C$41="DA",ISNUMBER(C42)=FALSE),"&lt;Introdu valoare&gt;",""),IF(C41="NU","Nu este cazul",""),IF(OR('Participant 1'!$C$20="Tren",'Participant 1'!$C$20="Autoturism"),"Nu este cazul",""))</f>
        <v/>
      </c>
      <c r="H42" s="66"/>
    </row>
    <row r="43" spans="1:8" ht="13.8" customHeight="1">
      <c r="A43" s="156" t="s">
        <v>284</v>
      </c>
      <c r="B43" s="156"/>
      <c r="C43" s="156"/>
      <c r="D43" s="156"/>
      <c r="E43" s="156"/>
      <c r="F43" s="77"/>
      <c r="G43" s="74"/>
      <c r="H43" s="66"/>
    </row>
    <row r="44" spans="1:8">
      <c r="A44" s="63">
        <f>A42+1</f>
        <v>31</v>
      </c>
      <c r="B44" s="76" t="s">
        <v>250</v>
      </c>
      <c r="C44" s="51"/>
      <c r="D44" s="67" t="s">
        <v>319</v>
      </c>
      <c r="E44" s="67" t="s">
        <v>266</v>
      </c>
      <c r="F44" s="77" t="str">
        <f>CONCATENATE(IF(AND(G44="&lt;Selectează&gt;",OR(C44="",C44="Nu este cazul")),"Selectează &lt;Da&gt; sau &lt;Nu&gt;",""),IF(AND(G44="Nu este cazul",C44&lt;&gt;"Nu este cazul"),"Selectează &lt;Nu este cazul&gt;",""))</f>
        <v/>
      </c>
      <c r="G44" s="74" t="str">
        <f>CONCATENATE(IF(AND(OR($C$20="Avion",$C$20="Avion+Tren"),OR(C44="",C44="Nu este cazul")),"&lt;Selectează&gt;",""),IF(OR($C$20="Tren",'Participant 1'!$C$20="Autoturism"),"Nu este cazul",""))</f>
        <v/>
      </c>
      <c r="H44" s="66"/>
    </row>
    <row r="45" spans="1:8">
      <c r="A45" s="63">
        <f t="shared" ref="A45:A51" si="2">A44+1</f>
        <v>32</v>
      </c>
      <c r="B45" s="64" t="s">
        <v>251</v>
      </c>
      <c r="C45" s="51"/>
      <c r="D45" s="88" t="str">
        <f>IF(C44="DA","x","-")</f>
        <v>-</v>
      </c>
      <c r="E45" s="32"/>
      <c r="F45" s="77" t="str">
        <f>CONCATENATE(IF(AND(G45="&lt;Introdu distanța&gt;",ISNUMBER(C45)&lt;&gt;TRUE),"&lt;Introdu distanța&gt;",""),IF(AND(G45="Nu este cazul",C45&lt;&gt;"Nu este cazul"),"Completează cu &lt;Nu este cazul&gt;",""))</f>
        <v/>
      </c>
      <c r="G45" s="74" t="str">
        <f>CONCATENATE(IF(AND(OR($C$20="Avion",$C$20="Avion+Tren"),$C44="DA",ISNUMBER(C45)=FALSE),"&lt;Introdu distanța&gt;",""),IF(AND(OR($C$20="Avion",$C$20="Avion+Tren"),$C44="NU"),"Nu este cazul",""),IF(OR('Participant 1'!$C$20="Tren",'Participant 1'!$C$20="Autoturism"),"Nu este cazul",""))</f>
        <v/>
      </c>
      <c r="H45" s="66"/>
    </row>
    <row r="46" spans="1:8">
      <c r="A46" s="63">
        <f t="shared" si="2"/>
        <v>33</v>
      </c>
      <c r="B46" s="78" t="s">
        <v>304</v>
      </c>
      <c r="C46" s="51"/>
      <c r="D46" s="67" t="s">
        <v>319</v>
      </c>
      <c r="E46" s="67" t="s">
        <v>266</v>
      </c>
      <c r="F46" s="77" t="str">
        <f>CONCATENATE(IF(AND(G46="&lt;Selectează tip alimentare&gt;",OR(C46="",C46="Nu este cazul")),"&lt;Selectează tip alimentare&gt;",""),IF(AND(G46="Nu este cazul",C46&lt;&gt;"Nu este cazul"),"Selectează &lt;Nu este cazul&gt;",""))</f>
        <v/>
      </c>
      <c r="G46" s="74" t="str">
        <f>CONCATENATE(IF(AND(OR($C$20="Avion",$C$20="Avion+Tren"),$C44="DA"),"&lt;Selectează tip alimentare&gt;",""),IF(AND(OR($C$20="Avion",$C$20="Avion+Tren"),$C44="NU"),"Nu este cazul",""),IF(OR('Participant 1'!$C$20="Tren",'Participant 1'!$C$20="Autoturism"),"Nu este cazul",""))</f>
        <v/>
      </c>
      <c r="H46" s="66"/>
    </row>
    <row r="47" spans="1:8">
      <c r="A47" s="63">
        <f t="shared" si="2"/>
        <v>34</v>
      </c>
      <c r="B47" s="78" t="str">
        <f>CONCATENATE("Consum la 100 Km ",IF(C46="Energie electrică","(kWh/100 Km) - WLTP",""),IF(C46="Benzină/motorină","(7,5 litri/100 Km)",""))</f>
        <v xml:space="preserve">Consum la 100 Km </v>
      </c>
      <c r="C47" s="51"/>
      <c r="D47" s="88" t="str">
        <f>IF(OR($C$46="Energie electrică"),"x","-")</f>
        <v>-</v>
      </c>
      <c r="E47" s="32"/>
      <c r="F47" s="77" t="str">
        <f>CONCATENATE(IF(AND(G47="&lt;Introdu consum&gt;",ISNUMBER(C47)&lt;&gt;TRUE),"&lt;Introdu consum&gt;",""),IF(AND(G47="Nu este cazul",C47&lt;&gt;"Nu este cazul"),"Completează cu &lt;Nu este cazul&gt;",""),IF(AND(C46="Benzină/motorină",C47&lt;&gt;7.5),"7,5 litri/100Km",""),IF(AND(D47="x",E47="")," &lt;Selectează doc.justif.&gt;",""))</f>
        <v/>
      </c>
      <c r="G47" s="74" t="str">
        <f>CONCATENATE(IF(AND(OR($C$20="Avion",$C$20="Avion+Tren"),$C44="DA",OR($C$37="Energie electrică",$C$37="Benzină/motorină"),ISNUMBER(C47)=FALSE),"&lt;Introdu consum&gt;",""),IF(AND(OR($C$20="Avion",$C$20="Avion+Tren"),$C44="NU"),"Nu este cazul",""),IF(OR('Participant 1'!$C$20="Tren",'Participant 1'!$C$20="Autoturism"),"Nu este cazul",""))</f>
        <v/>
      </c>
      <c r="H47" s="66"/>
    </row>
    <row r="48" spans="1:8">
      <c r="A48" s="63">
        <f t="shared" si="2"/>
        <v>35</v>
      </c>
      <c r="B48" s="78" t="s">
        <v>309</v>
      </c>
      <c r="C48" s="51"/>
      <c r="D48" s="88" t="str">
        <f>IF(OR($C$46="Benzină/motorină",$C$46="Energie electrică"),"x","-")</f>
        <v>-</v>
      </c>
      <c r="E48" s="32"/>
      <c r="F48" s="77" t="str">
        <f>CONCATENATE(IF(AND(G48="&lt;Introdu valoare&gt;",ISNUMBER(C48)&lt;&gt;TRUE),"&lt;Introdu valoare&gt;",""),IF(AND(G48="Nu este cazul",C48&lt;&gt;"Nu este cazul"),"Completează cu &lt;Nu este cazul&gt;",""),IF(AND(C47="Benzină/motorină",C48&lt;&gt;7.5),"7,5 litri/100Km",""))</f>
        <v/>
      </c>
      <c r="G48" s="74" t="str">
        <f>CONCATENATE(IF(AND(OR($C$20="Avion",$C$20="Avion+Tren"),$C44="DA",OR($C$37="Energie electrică",$C$37="Benzină/motorină"),ISNUMBER(C48)=FALSE),"&lt;Introdu valoare&gt;",""),IF(AND(OR($C$20="Avion",$C$20="Avion+Tren"),$C44="NU"),"Nu este cazul",""),IF(OR('Participant 1'!$C$20="Tren",'Participant 1'!$C$20="Autoturism"),"Nu este cazul",""))</f>
        <v/>
      </c>
      <c r="H48" s="66"/>
    </row>
    <row r="49" spans="1:13">
      <c r="A49" s="63">
        <f t="shared" si="2"/>
        <v>36</v>
      </c>
      <c r="B49" s="78" t="str">
        <f>CONCATENATE("Preț ",IF(C46="Energie electrică","pe kWh - lei",""),IF(C46="Benzină/motorină","pe litru - lei",""))</f>
        <v xml:space="preserve">Preț </v>
      </c>
      <c r="C49" s="51"/>
      <c r="D49" s="88" t="str">
        <f>IF(OR($C$46="Benzină/motorină",$C$46="Energie electrică"),"x","-")</f>
        <v>-</v>
      </c>
      <c r="E49" s="32"/>
      <c r="F49" s="77" t="str">
        <f>CONCATENATE(IF(AND(G49="&lt;Introdu preț&gt;",ISNUMBER(C49)&lt;&gt;TRUE),"&lt;Introdu preț&gt;",""),IF(AND(G49="Nu este cazul",C49&lt;&gt;"Nu este cazul"),"Completează cu &lt;Nu este cazul&gt;",""),IF(AND(C48="Benzină/motorină",C49&lt;&gt;7.5),"7,5 litri/100Km",""))</f>
        <v/>
      </c>
      <c r="G49" s="74" t="str">
        <f>CONCATENATE(IF(AND(OR($C$20="Avion",$C$20="Avion+Tren"),$C44="DA",OR($C$37="Energie electrică",$C$37="Benzină/motorină"),ISNUMBER(C49)=FALSE),"&lt;Introdu preț&gt;",""),IF(AND(OR($C$20="Avion",$C$20="Avion+Tren"),$C44="NU"),"Nu este cazul",""),IF(OR('Participant 1'!$C$20="Tren",'Participant 1'!$C$20="Autoturism"),"Nu este cazul",""))</f>
        <v/>
      </c>
      <c r="H49" s="66"/>
    </row>
    <row r="50" spans="1:13" ht="27.6">
      <c r="A50" s="63">
        <f t="shared" si="2"/>
        <v>37</v>
      </c>
      <c r="B50" s="76" t="s">
        <v>252</v>
      </c>
      <c r="C50" s="51"/>
      <c r="D50" s="67" t="s">
        <v>319</v>
      </c>
      <c r="E50" s="67" t="s">
        <v>266</v>
      </c>
      <c r="F50" s="77" t="str">
        <f>CONCATENATE(IF(AND(G50="&lt;Selectează&gt;",OR(C50="",C50="Nu este cazul")),"Selectează &lt;Da&gt; sau &lt;Nu&gt;",""),IF(AND(G50="Nu este cazul",C50&lt;&gt;"Nu este cazul"),"Selectează &lt;Nu este cazul&gt;",""),IF(AND(D50="x",E50="")," &lt;Selectează doc.justif.&gt;",""))</f>
        <v/>
      </c>
      <c r="G50" s="74" t="str">
        <f>CONCATENATE(IF(AND(OR($C$20="Avion",$C$20="Avion+Tren"),OR(C50="",C50="Nu este cazul")),"&lt;Selectează&gt;",""),IF(OR($C$20="Tren",'Participant 1'!$C$20="Autoturism"),"Nu este cazul",""))</f>
        <v/>
      </c>
      <c r="H50" s="66"/>
    </row>
    <row r="51" spans="1:13">
      <c r="A51" s="63">
        <f t="shared" si="2"/>
        <v>38</v>
      </c>
      <c r="B51" s="96" t="s">
        <v>318</v>
      </c>
      <c r="C51" s="51"/>
      <c r="D51" s="88" t="str">
        <f>IF(OR($C$50="DA"),"x","-")</f>
        <v>-</v>
      </c>
      <c r="E51" s="97"/>
      <c r="F51" s="77" t="str">
        <f>CONCATENATE(IF(AND(G51="&lt;Introdu valoare&gt;",ISNUMBER(C51)&lt;&gt;TRUE),"&lt;Introdu valoare&gt;",""),IF(AND(G51="Nu este cazul",C51&lt;&gt;"Nu este cazul"),"Completează cu &lt;Nu este cazul&gt;",""),IF(AND(D51="x",E51="")," &lt;Selectează doc.justif.&gt;",""))</f>
        <v/>
      </c>
      <c r="G51" s="74" t="str">
        <f>CONCATENATE(IF(AND($C$50="DA",ISNUMBER(C51)=FALSE),"&lt;Introdu valoare&gt;",""),IF(C50="NU","Nu este cazul",""),IF(OR('Participant 1'!$C$20="Tren",'Participant 1'!$C$20="Autoturism"),"Nu este cazul",""))</f>
        <v/>
      </c>
      <c r="H51" s="86"/>
    </row>
    <row r="52" spans="1:13">
      <c r="A52" s="158" t="s">
        <v>333</v>
      </c>
      <c r="B52" s="159"/>
      <c r="C52" s="79" t="str">
        <f>CONCATENATE("Valoare - ",Calcule!C5)</f>
        <v>Valoare - 0</v>
      </c>
      <c r="D52" s="160"/>
      <c r="E52" s="161"/>
      <c r="F52" s="93"/>
    </row>
    <row r="53" spans="1:13" ht="24.6" customHeight="1">
      <c r="A53" s="63">
        <f>A51+1</f>
        <v>39</v>
      </c>
      <c r="B53" s="70" t="s">
        <v>258</v>
      </c>
      <c r="C53" s="33"/>
      <c r="D53" s="88" t="str">
        <f>IF(C53&lt;&gt;0,"x","")</f>
        <v/>
      </c>
      <c r="E53" s="32"/>
      <c r="F53" s="77" t="str">
        <f>IF(AND(D53="x",E53="")," &lt;Selectează doc.justif.&gt;","")</f>
        <v/>
      </c>
    </row>
    <row r="54" spans="1:13">
      <c r="A54" s="63">
        <f t="shared" ref="A54:A59" si="3">A53+1</f>
        <v>40</v>
      </c>
      <c r="B54" s="70" t="s">
        <v>282</v>
      </c>
      <c r="C54" s="33"/>
      <c r="D54" s="88" t="str">
        <f>IF(C54&lt;&gt;0,"x","")</f>
        <v/>
      </c>
      <c r="E54" s="32"/>
      <c r="F54" s="77" t="str">
        <f>IF(AND(D54="x",E54="")," &lt;Selectează doc.justif.&gt;","")</f>
        <v/>
      </c>
    </row>
    <row r="55" spans="1:13">
      <c r="A55" s="63">
        <f t="shared" si="3"/>
        <v>41</v>
      </c>
      <c r="B55" s="70" t="s">
        <v>260</v>
      </c>
      <c r="C55" s="33"/>
      <c r="D55" s="88" t="str">
        <f>IF(C55&lt;&gt;0,"x","")</f>
        <v/>
      </c>
      <c r="E55" s="32"/>
      <c r="F55" s="77" t="str">
        <f>CONCATENATE(Calcule!C22," ",IF(AND(D55="x",E55="")," &lt;Selectează doc.justif.&gt;",""))</f>
        <v xml:space="preserve"> </v>
      </c>
    </row>
    <row r="56" spans="1:13">
      <c r="A56" s="63">
        <f t="shared" si="3"/>
        <v>42</v>
      </c>
      <c r="B56" s="70" t="s">
        <v>34</v>
      </c>
      <c r="C56" s="33"/>
      <c r="D56" s="88" t="str">
        <f>IF(C56&lt;&gt;0,"x","")</f>
        <v/>
      </c>
      <c r="E56" s="32"/>
      <c r="F56" s="77" t="str">
        <f>CONCATENATE(Calcule!C25," ",IF(AND(D56="x",E56="")," &lt;Selectează doc.justif.&gt;",""))</f>
        <v xml:space="preserve"> </v>
      </c>
    </row>
    <row r="57" spans="1:13" s="34" customFormat="1" ht="41.4">
      <c r="A57" s="63">
        <f t="shared" si="3"/>
        <v>43</v>
      </c>
      <c r="B57" s="68" t="s">
        <v>321</v>
      </c>
      <c r="C57" s="33"/>
      <c r="D57" s="88" t="str">
        <f>IF(C57&lt;&gt;0,"x","")</f>
        <v/>
      </c>
      <c r="E57" s="32"/>
      <c r="F57" s="77" t="str">
        <f>IF(AND(D57="x",E57="")," &lt;Selectează doc.justif.&gt;","")</f>
        <v/>
      </c>
      <c r="H57" s="31"/>
      <c r="I57" s="31"/>
      <c r="J57" s="31"/>
      <c r="K57" s="31"/>
      <c r="L57" s="31"/>
      <c r="M57" s="31"/>
    </row>
    <row r="58" spans="1:13" s="34" customFormat="1">
      <c r="A58" s="63">
        <f t="shared" si="3"/>
        <v>44</v>
      </c>
      <c r="B58" s="111" t="str">
        <f>CONCATENATE("TOTAL [ (39) + ... + (43) ] - ",Calcule!C5)</f>
        <v>TOTAL [ (39) + ... + (43) ] - 0</v>
      </c>
      <c r="C58" s="80">
        <f>SUM(C53:C57)</f>
        <v>0</v>
      </c>
      <c r="D58" s="67" t="s">
        <v>266</v>
      </c>
      <c r="E58" s="67" t="s">
        <v>266</v>
      </c>
      <c r="F58" s="94"/>
      <c r="H58" s="31"/>
      <c r="I58" s="31"/>
      <c r="J58" s="31"/>
      <c r="K58" s="31"/>
      <c r="L58" s="31"/>
      <c r="M58" s="31"/>
    </row>
    <row r="59" spans="1:13" s="34" customFormat="1" ht="27.6">
      <c r="A59" s="63">
        <f t="shared" si="3"/>
        <v>45</v>
      </c>
      <c r="B59" s="81" t="s">
        <v>338</v>
      </c>
      <c r="C59" s="82">
        <f>C58*C11</f>
        <v>0</v>
      </c>
      <c r="D59" s="67" t="s">
        <v>266</v>
      </c>
      <c r="E59" s="67" t="s">
        <v>266</v>
      </c>
      <c r="F59" s="94"/>
      <c r="H59" s="31"/>
      <c r="I59" s="31"/>
      <c r="J59" s="31"/>
      <c r="K59" s="31"/>
      <c r="L59" s="31"/>
      <c r="M59" s="31"/>
    </row>
    <row r="60" spans="1:13" ht="14.4" customHeight="1">
      <c r="A60" s="158" t="s">
        <v>334</v>
      </c>
      <c r="B60" s="159"/>
      <c r="C60" s="79" t="s">
        <v>263</v>
      </c>
      <c r="D60" s="160"/>
      <c r="E60" s="161"/>
      <c r="F60" s="93"/>
      <c r="M60" s="34"/>
    </row>
    <row r="61" spans="1:13" ht="27.6">
      <c r="A61" s="63">
        <f>A59+1</f>
        <v>46</v>
      </c>
      <c r="B61" s="70" t="s">
        <v>259</v>
      </c>
      <c r="C61" s="35"/>
      <c r="D61" s="88" t="str">
        <f>IF(C61&lt;&gt;0,"x","")</f>
        <v/>
      </c>
      <c r="E61" s="32"/>
      <c r="F61" s="77" t="str">
        <f>IF(AND(D61="x",E61="")," &lt;Selectează doc.justif.&gt;","")</f>
        <v/>
      </c>
      <c r="K61" s="34"/>
      <c r="L61" s="34"/>
    </row>
    <row r="62" spans="1:13" ht="27.6">
      <c r="A62" s="63">
        <f t="shared" ref="A62:A68" si="4">A61+1</f>
        <v>47</v>
      </c>
      <c r="B62" s="70" t="s">
        <v>261</v>
      </c>
      <c r="C62" s="35"/>
      <c r="D62" s="88" t="str">
        <f>IF(C62&lt;&gt;0,"x","")</f>
        <v/>
      </c>
      <c r="E62" s="32"/>
      <c r="F62" s="77" t="str">
        <f>CONCATENATE(Calcule!C33," ",IF(AND(D62="x",E62="")," &lt;Selectează doc.justif.&gt;",""))</f>
        <v xml:space="preserve"> </v>
      </c>
    </row>
    <row r="63" spans="1:13">
      <c r="A63" s="63">
        <f t="shared" si="4"/>
        <v>48</v>
      </c>
      <c r="B63" s="70" t="s">
        <v>262</v>
      </c>
      <c r="C63" s="35"/>
      <c r="D63" s="88" t="str">
        <f>IF(C63&lt;&gt;0,"x","")</f>
        <v/>
      </c>
      <c r="E63" s="32"/>
      <c r="F63" s="77" t="str">
        <f>CONCATENATE(Calcule!C36," ",IF(AND(D63="x",E63="")," &lt;Selectează doc.justif.&gt;",""))</f>
        <v xml:space="preserve"> </v>
      </c>
    </row>
    <row r="64" spans="1:13" ht="69">
      <c r="A64" s="63">
        <f t="shared" si="4"/>
        <v>49</v>
      </c>
      <c r="B64" s="70" t="s">
        <v>285</v>
      </c>
      <c r="C64" s="83">
        <f>SUM(C65:C67)</f>
        <v>0</v>
      </c>
      <c r="D64" s="88" t="str">
        <f>IF(C64&lt;&gt;0,"x","")</f>
        <v/>
      </c>
      <c r="E64" s="32"/>
      <c r="F64" s="77" t="str">
        <f>IF(AND(D64="x",E64="")," &lt;Selectează doc.justif.&gt;","")</f>
        <v/>
      </c>
    </row>
    <row r="65" spans="1:6" ht="41.4">
      <c r="A65" s="63">
        <f>A64+1</f>
        <v>50</v>
      </c>
      <c r="B65" s="70" t="s">
        <v>287</v>
      </c>
      <c r="C65" s="83">
        <f>IF(AND($C$35="DA",$C$37="Benzină/motorină"),MIN($C$38*$C$36/100*$C$40,$C$39),0)+IF(AND($C$44="DA",$C$46="Benzină/motorină"),MIN($C$47*$C$45/100*$C$49,$C$48),0)</f>
        <v>0</v>
      </c>
      <c r="D65" s="88" t="str">
        <f>IF(C65&lt;&gt;0,"x","-")</f>
        <v>-</v>
      </c>
      <c r="E65" s="32"/>
      <c r="F65" s="77" t="str">
        <f>CONCATENATE(IF(AND(ISNUMBER(C65),C65&lt;&gt;0,AND(C35&lt;&gt;"DA",C44&lt;&gt;"DA")),"Vezi (23) și (26) sau completează cu 0.00",""),IF(AND(D65="x",E65="")," &lt;Selectează doc.justif.&gt;",""))</f>
        <v/>
      </c>
    </row>
    <row r="66" spans="1:6" ht="27.6">
      <c r="A66" s="63">
        <f t="shared" si="4"/>
        <v>51</v>
      </c>
      <c r="B66" s="70" t="s">
        <v>290</v>
      </c>
      <c r="C66" s="83">
        <f>IF(AND($C$35="DA",$C$37="Energie electrică"),MIN($C$38*$C$36/100*$C$40,$C$39),0)+IF(AND($C$44="DA",$C$46="Energie electrică"),MIN($C$47*$C$45/100*$C$49,$C$48),0)</f>
        <v>0</v>
      </c>
      <c r="D66" s="88" t="str">
        <f>IF(C66&lt;&gt;0,"x","-")</f>
        <v>-</v>
      </c>
      <c r="E66" s="32"/>
      <c r="F66" s="77" t="str">
        <f>CONCATENATE(IF(AND(ISNUMBER(C65),C65&lt;&gt;0,AND(C35&lt;&gt;"DA",C44&lt;&gt;"DA")),"Vezi (23) și (26) sau completează cu 0.00","")," ",IF(AND(D66="x",E66="")," &lt;Selectează doc.justif.&gt;",""))</f>
        <v xml:space="preserve"> </v>
      </c>
    </row>
    <row r="67" spans="1:6" ht="27.6">
      <c r="A67" s="63">
        <f t="shared" si="4"/>
        <v>52</v>
      </c>
      <c r="B67" s="70" t="s">
        <v>286</v>
      </c>
      <c r="C67" s="99">
        <f>IF(ISNUMBER(C42),C42,0)+IF(ISNUMBER(C51),C51,0)</f>
        <v>0</v>
      </c>
      <c r="D67" s="88" t="str">
        <f>IF(C67&lt;&gt;0,"x","")</f>
        <v/>
      </c>
      <c r="E67" s="32"/>
      <c r="F67" s="77" t="str">
        <f>CONCATENATE(IF(AND(ISNUMBER(C67),C67&lt;&gt;0,AND(C41&lt;&gt;"DA",C50&lt;&gt;"DA")),"Modifică (29) și (36) sau completează cu 0.00","")," ",IF(AND(D67="x",E67="")," &lt;Selectează doc.justif.&gt;",""))</f>
        <v xml:space="preserve"> </v>
      </c>
    </row>
    <row r="68" spans="1:6">
      <c r="A68" s="63">
        <f t="shared" si="4"/>
        <v>53</v>
      </c>
      <c r="B68" s="111" t="s">
        <v>339</v>
      </c>
      <c r="C68" s="82">
        <f>SUM(C61:C64)</f>
        <v>0</v>
      </c>
      <c r="D68" s="67" t="s">
        <v>266</v>
      </c>
      <c r="E68" s="67" t="s">
        <v>266</v>
      </c>
      <c r="F68" s="93"/>
    </row>
    <row r="69" spans="1:6" ht="15.6">
      <c r="A69" s="63">
        <f>A68+1</f>
        <v>54</v>
      </c>
      <c r="B69" s="108" t="s">
        <v>323</v>
      </c>
      <c r="C69" s="84">
        <f>ROUND(C59+C68,2)</f>
        <v>0</v>
      </c>
      <c r="D69" s="67" t="s">
        <v>266</v>
      </c>
      <c r="E69" s="67" t="s">
        <v>266</v>
      </c>
      <c r="F69" s="93"/>
    </row>
    <row r="70" spans="1:6">
      <c r="B70" s="109"/>
      <c r="C70" s="85"/>
      <c r="D70" s="85"/>
      <c r="E70" s="86"/>
    </row>
    <row r="71" spans="1:6" ht="27.6">
      <c r="B71" s="87" t="s">
        <v>326</v>
      </c>
    </row>
    <row r="72" spans="1:6">
      <c r="B72" s="110"/>
    </row>
    <row r="73" spans="1:6">
      <c r="B73" s="110"/>
    </row>
    <row r="74" spans="1:6">
      <c r="B74" s="110"/>
    </row>
    <row r="75" spans="1:6">
      <c r="B75" s="110"/>
    </row>
    <row r="76" spans="1:6">
      <c r="B76" s="110"/>
    </row>
    <row r="77" spans="1:6">
      <c r="B77" s="110"/>
    </row>
    <row r="78" spans="1:6">
      <c r="B78" s="110"/>
    </row>
    <row r="79" spans="1:6">
      <c r="B79" s="110"/>
    </row>
    <row r="80" spans="1:6">
      <c r="B80" s="110"/>
    </row>
    <row r="81" spans="2:5">
      <c r="B81" s="110"/>
    </row>
    <row r="82" spans="2:5">
      <c r="B82" s="110"/>
    </row>
    <row r="83" spans="2:5">
      <c r="B83" s="110"/>
    </row>
    <row r="84" spans="2:5">
      <c r="B84" s="110"/>
    </row>
    <row r="85" spans="2:5">
      <c r="B85" s="110"/>
    </row>
    <row r="86" spans="2:5">
      <c r="B86" s="110"/>
    </row>
    <row r="88" spans="2:5" ht="18" customHeight="1">
      <c r="B88" s="146" t="s">
        <v>358</v>
      </c>
      <c r="C88" s="95"/>
      <c r="D88" s="95"/>
      <c r="E88" s="136" t="s">
        <v>357</v>
      </c>
    </row>
    <row r="89" spans="2:5" ht="18" customHeight="1">
      <c r="B89" s="48" t="str">
        <f>CONCATENATE('Date generale'!B8,",")</f>
        <v>Reprezentant legal/împuternicit,</v>
      </c>
      <c r="C89" s="8"/>
      <c r="D89" s="8"/>
      <c r="E89" s="8" t="str">
        <f>CONCATENATE("",C6)</f>
        <v/>
      </c>
    </row>
    <row r="90" spans="2:5">
      <c r="B90" s="48" t="str">
        <f>CONCATENATE("",'Date generale'!C8)</f>
        <v/>
      </c>
      <c r="C90" s="8"/>
      <c r="D90" s="8"/>
      <c r="E90" s="8"/>
    </row>
  </sheetData>
  <sheetProtection algorithmName="SHA-512" hashValue="JKbFk8l1Isg5Oy5mq6ZT3ZroEgX6rXvBYGFC/aZyhm/apxgIIfGsX0t6muj8DNSDD8aHbfz5KfaexFmkTvHjIw==" saltValue="uncMEliFgSN7CYyK7yT47w==" spinCount="100000" sheet="1" selectLockedCells="1"/>
  <mergeCells count="13">
    <mergeCell ref="A34:E34"/>
    <mergeCell ref="A43:E43"/>
    <mergeCell ref="A52:B52"/>
    <mergeCell ref="A60:B60"/>
    <mergeCell ref="A12:E12"/>
    <mergeCell ref="A15:E15"/>
    <mergeCell ref="D52:E52"/>
    <mergeCell ref="D60:E60"/>
    <mergeCell ref="A4:E4"/>
    <mergeCell ref="A19:C19"/>
    <mergeCell ref="A21:C21"/>
    <mergeCell ref="A24:E24"/>
    <mergeCell ref="A29:E29"/>
  </mergeCells>
  <conditionalFormatting sqref="C13">
    <cfRule type="cellIs" dxfId="32" priority="12" operator="lessThan">
      <formula>$C$13</formula>
    </cfRule>
  </conditionalFormatting>
  <conditionalFormatting sqref="C14">
    <cfRule type="cellIs" dxfId="31" priority="30" operator="lessThan">
      <formula>$C$17</formula>
    </cfRule>
  </conditionalFormatting>
  <conditionalFormatting sqref="C16">
    <cfRule type="cellIs" dxfId="30" priority="11" operator="lessThan">
      <formula>$C$13</formula>
    </cfRule>
  </conditionalFormatting>
  <conditionalFormatting sqref="C17">
    <cfRule type="cellIs" dxfId="29" priority="10" operator="lessThan">
      <formula>$C$17</formula>
    </cfRule>
  </conditionalFormatting>
  <conditionalFormatting sqref="F19:F51">
    <cfRule type="containsText" dxfId="28" priority="3" operator="containsText" text="Nu este cazul">
      <formula>NOT(ISERROR(SEARCH("Nu este cazul",F19)))</formula>
    </cfRule>
  </conditionalFormatting>
  <conditionalFormatting sqref="G20">
    <cfRule type="containsText" dxfId="27" priority="27" operator="containsText" text="Nu este cazul">
      <formula>NOT(ISERROR(SEARCH("Nu este cazul",G20)))</formula>
    </cfRule>
  </conditionalFormatting>
  <conditionalFormatting sqref="G41 G43:G46 G50 G35:G37">
    <cfRule type="expression" dxfId="24" priority="19">
      <formula>"1=1"</formula>
    </cfRule>
  </conditionalFormatting>
  <dataValidations count="2">
    <dataValidation type="decimal" operator="greaterThanOrEqual" allowBlank="1" showInputMessage="1" showErrorMessage="1" sqref="C53:C57 C61:C66" xr:uid="{9A662155-B877-499D-87BB-742A5BBFC22D}">
      <formula1>0</formula1>
    </dataValidation>
    <dataValidation type="list" allowBlank="1" showInputMessage="1" showErrorMessage="1" sqref="E16:E18 E47:E49 E45 E53:E57 E61:E67 E36 E13:E14 E38:E40 E51 E42" xr:uid="{5C4DEB63-0F99-4521-9B62-1270D70FA8DA}">
      <formula1>$B$72:$B$86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2787600F-37C7-44B2-B684-FFD2B4E2F828}">
            <xm:f>NOT(ISERROR(SEARCH(Liste!$C$214,G22)))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G22:G35</xm:sqref>
        </x14:conditionalFormatting>
        <x14:conditionalFormatting xmlns:xm="http://schemas.microsoft.com/office/excel/2006/main">
          <x14:cfRule type="containsText" priority="22" operator="containsText" id="{24F0BAA5-655F-4601-A74F-234F3BF10DD9}">
            <xm:f>NOT(ISERROR(SEARCH(Liste!$C$217,G36)))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G36:G37 G41 G43</xm:sqref>
        </x14:conditionalFormatting>
        <x14:conditionalFormatting xmlns:xm="http://schemas.microsoft.com/office/excel/2006/main">
          <x14:cfRule type="containsText" priority="9" operator="containsText" id="{ECD9BA63-9FF3-45A0-9EB6-63121A8253C8}">
            <xm:f>NOT(ISERROR(SEARCH(Liste!$C$214,G41)))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8" operator="containsText" id="{36CCABB3-8A7A-46A0-9915-79F43E625D38}">
            <xm:f>NOT(ISERROR(SEARCH(Liste!$C$214,G44)))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9" operator="containsText" id="{28E6048A-2748-4F89-A9B3-8611A01199F7}">
            <xm:f>NOT(ISERROR(SEARCH(Liste!$C$214,G44)))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3" operator="containsText" id="{E18D42A3-18D3-4769-B1C1-6F6500FC4AAF}">
            <xm:f>NOT(ISERROR(SEARCH(Liste!$C$217,G45)))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5" operator="containsText" id="{50113856-0ABD-47BF-9FD1-F2FED2D03F59}">
            <xm:f>NOT(ISERROR(SEARCH(Liste!$C$217,G45)))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G45:G46</xm:sqref>
        </x14:conditionalFormatting>
        <x14:conditionalFormatting xmlns:xm="http://schemas.microsoft.com/office/excel/2006/main">
          <x14:cfRule type="containsText" priority="7" operator="containsText" id="{DB7A0AD9-08A9-4465-89EA-4787495C3994}">
            <xm:f>NOT(ISERROR(SEARCH(Liste!$C$214,G50)))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8E70727-E672-4B9F-9288-A2996044E1B7}">
          <x14:formula1>
            <xm:f>Liste!$C$2:$C$3</xm:f>
          </x14:formula1>
          <xm:sqref>C7</xm:sqref>
        </x14:dataValidation>
        <x14:dataValidation type="list" allowBlank="1" showInputMessage="1" showErrorMessage="1" xr:uid="{91F39D2D-B4AC-47EC-AED0-2756DD6CE327}">
          <x14:formula1>
            <xm:f>Liste!$C$215:$C$217</xm:f>
          </x14:formula1>
          <xm:sqref>H44 C35 C50 C44 H35 C41</xm:sqref>
        </x14:dataValidation>
        <x14:dataValidation type="list" allowBlank="1" showInputMessage="1" showErrorMessage="1" xr:uid="{CAD96CAF-1F43-4A5D-84A8-72C4B2563551}">
          <x14:formula1>
            <xm:f>Liste!$L$3:$L$8</xm:f>
          </x14:formula1>
          <xm:sqref>H50:H51 H29 H34 H22:H24 H41:H42 C22:C23</xm:sqref>
        </x14:dataValidation>
        <x14:dataValidation type="list" allowBlank="1" showInputMessage="1" showErrorMessage="1" xr:uid="{C26FD0A6-00AC-4428-8FC5-A65C6E60C200}">
          <x14:formula1>
            <xm:f>Liste!$C$6:$C$9</xm:f>
          </x14:formula1>
          <xm:sqref>H20 C20</xm:sqref>
        </x14:dataValidation>
        <x14:dataValidation type="list" allowBlank="1" showInputMessage="1" showErrorMessage="1" xr:uid="{246CAF42-1B50-4DA1-A2C7-BDEB9149ECDF}">
          <x14:formula1>
            <xm:f>Liste!$N$2:$N$4</xm:f>
          </x14:formula1>
          <xm:sqref>C37 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252A-B3F4-424E-B80A-9954F0DCFF9A}">
  <dimension ref="A1:M90"/>
  <sheetViews>
    <sheetView zoomScaleNormal="100" zoomScaleSheetLayoutView="160" workbookViewId="0">
      <selection activeCell="C7" sqref="C7"/>
    </sheetView>
  </sheetViews>
  <sheetFormatPr defaultColWidth="8.88671875" defaultRowHeight="13.8"/>
  <cols>
    <col min="1" max="1" width="4.77734375" style="31" customWidth="1"/>
    <col min="2" max="2" width="33.109375" style="36" customWidth="1"/>
    <col min="3" max="3" width="19.6640625" style="31" customWidth="1"/>
    <col min="4" max="4" width="3.77734375" style="31" customWidth="1"/>
    <col min="5" max="5" width="25.88671875" style="31" customWidth="1"/>
    <col min="6" max="6" width="33.21875" style="95" customWidth="1"/>
    <col min="7" max="7" width="13.33203125" style="31" hidden="1" customWidth="1"/>
    <col min="8" max="8" width="11.21875" style="31" hidden="1" customWidth="1"/>
    <col min="9" max="9" width="13.33203125" style="31" hidden="1" customWidth="1"/>
    <col min="10" max="16384" width="8.88671875" style="31"/>
  </cols>
  <sheetData>
    <row r="1" spans="1:8" ht="15.6">
      <c r="A1" s="103" t="str">
        <f>CONCATENATE("Partener: ",'Date generale'!C5)</f>
        <v xml:space="preserve">Partener: </v>
      </c>
    </row>
    <row r="2" spans="1:8" ht="15.6">
      <c r="A2" s="103" t="str">
        <f>CONCATENATE( "Acord de parteneriat: ",'Date generale'!C3)</f>
        <v xml:space="preserve">Acord de parteneriat: </v>
      </c>
    </row>
    <row r="4" spans="1:8" ht="28.2" customHeight="1">
      <c r="A4" s="155" t="str">
        <f>CONCATENATE("Decont participant - ",C6)</f>
        <v xml:space="preserve">Decont participant - </v>
      </c>
      <c r="B4" s="155"/>
      <c r="C4" s="155"/>
      <c r="D4" s="155"/>
      <c r="E4" s="155"/>
      <c r="F4" s="62" t="str">
        <f>IF(TRIM(CONCATENATE(F6,F7,F9,F10,F12,F13,F14,F15,F16,F17,F18,F11,F19,F20,F21,F22,F23,F24,F25,F26,F29,F30,F31,F34,F35,F36,F37,F38,F39,F40,F41,F42,F43,F44,F45,F46,F47,F48,F49,F50,F51,F53,F54,F55,F56,F63,F64,F65,F66,F67))&lt;&gt;"","Atenționări!","")</f>
        <v>Atenționări!</v>
      </c>
    </row>
    <row r="5" spans="1:8" ht="15.6">
      <c r="A5" s="61"/>
      <c r="B5" s="107" t="s">
        <v>316</v>
      </c>
      <c r="C5" s="91" t="s">
        <v>317</v>
      </c>
      <c r="D5" s="91" t="s">
        <v>313</v>
      </c>
      <c r="E5" s="91" t="s">
        <v>35</v>
      </c>
      <c r="F5" s="92"/>
    </row>
    <row r="6" spans="1:8" ht="35.4" customHeight="1">
      <c r="A6" s="63">
        <v>1</v>
      </c>
      <c r="B6" s="64" t="s">
        <v>17</v>
      </c>
      <c r="C6" s="65" t="str">
        <f>IF('Date generale'!C13&lt;&gt;"",'Date generale'!C13,"")</f>
        <v/>
      </c>
      <c r="D6" s="67" t="s">
        <v>266</v>
      </c>
      <c r="E6" s="67" t="s">
        <v>266</v>
      </c>
      <c r="F6" s="93"/>
    </row>
    <row r="7" spans="1:8">
      <c r="A7" s="63">
        <f>A6+1</f>
        <v>2</v>
      </c>
      <c r="B7" s="64" t="s">
        <v>265</v>
      </c>
      <c r="C7" s="51"/>
      <c r="D7" s="67" t="s">
        <v>266</v>
      </c>
      <c r="E7" s="67" t="s">
        <v>266</v>
      </c>
      <c r="F7" s="77" t="str">
        <f>IF(C7="","&lt;Selectează categoria&gt;","")</f>
        <v>&lt;Selectează categoria&gt;</v>
      </c>
    </row>
    <row r="8" spans="1:8">
      <c r="A8" s="63">
        <f t="shared" ref="A8:A18" si="0">A7+1</f>
        <v>3</v>
      </c>
      <c r="B8" s="64" t="s">
        <v>264</v>
      </c>
      <c r="C8" s="67" t="str">
        <f>IF(Calcule!C5&lt;&gt;0,Calcule!C5,"")</f>
        <v/>
      </c>
      <c r="D8" s="67" t="s">
        <v>266</v>
      </c>
      <c r="E8" s="67" t="s">
        <v>266</v>
      </c>
      <c r="F8" s="93"/>
    </row>
    <row r="9" spans="1:8" ht="27.6">
      <c r="A9" s="63">
        <f t="shared" si="0"/>
        <v>4</v>
      </c>
      <c r="B9" s="68" t="str">
        <f>CONCATENATE(IF('Date generale'!C24="DA","Plafon indemnizație ","Indemnizație "),"cazare/noapte - ",C7," pentru ",'Date generale'!C22," - ",IF(C8&lt;&gt;0,C8,""))</f>
        <v xml:space="preserve">Indemnizație cazare/noapte -  pentru  - </v>
      </c>
      <c r="C9" s="65" t="str">
        <f>IF(Calcule!C7&lt;&gt;0,Calcule!C7,"")</f>
        <v/>
      </c>
      <c r="D9" s="67" t="s">
        <v>266</v>
      </c>
      <c r="E9" s="67" t="s">
        <v>266</v>
      </c>
      <c r="F9" s="93"/>
      <c r="H9" s="69"/>
    </row>
    <row r="10" spans="1:8">
      <c r="A10" s="63">
        <f t="shared" si="0"/>
        <v>5</v>
      </c>
      <c r="B10" s="68" t="str">
        <f>CONCATENATE("Nivel diurnă/zi - ",C7," pentru ",'Date generale'!C22," - ",IF(C8&lt;&gt;0,C8,""))</f>
        <v xml:space="preserve">Nivel diurnă/zi -  pentru  - </v>
      </c>
      <c r="C10" s="65" t="str">
        <f>IF(Calcule!C8&lt;&gt;0,Calcule!C8,"")</f>
        <v/>
      </c>
      <c r="D10" s="67" t="s">
        <v>266</v>
      </c>
      <c r="E10" s="67" t="s">
        <v>266</v>
      </c>
      <c r="F10" s="93"/>
    </row>
    <row r="11" spans="1:8">
      <c r="A11" s="63">
        <f t="shared" si="0"/>
        <v>6</v>
      </c>
      <c r="B11" s="70" t="str">
        <f>IF('Date generale'!C22&lt;&gt;"",CONCATENATE("Curs valutar de decontare - (lei/",VLOOKUP('Date generale'!C22,Liste!C17:H183,2),")",""),"")</f>
        <v/>
      </c>
      <c r="C11" s="175"/>
      <c r="D11" s="67" t="s">
        <v>266</v>
      </c>
      <c r="E11" s="67" t="s">
        <v>266</v>
      </c>
      <c r="F11" s="77" t="str">
        <f>IF(C11="","&lt;Completează&gt;","")</f>
        <v>&lt;Completează&gt;</v>
      </c>
      <c r="G11" s="71"/>
    </row>
    <row r="12" spans="1:8" ht="14.4" customHeight="1">
      <c r="A12" s="156" t="s">
        <v>267</v>
      </c>
      <c r="B12" s="156"/>
      <c r="C12" s="156"/>
      <c r="D12" s="156"/>
      <c r="E12" s="156"/>
      <c r="F12" s="93"/>
    </row>
    <row r="13" spans="1:8">
      <c r="A13" s="63">
        <f>A11+1</f>
        <v>7</v>
      </c>
      <c r="B13" s="70" t="s">
        <v>9</v>
      </c>
      <c r="C13" s="89"/>
      <c r="D13" s="88" t="s">
        <v>314</v>
      </c>
      <c r="E13" s="32"/>
      <c r="F13" s="77" t="str">
        <f>IF(AND(D13="x",E13="")," &lt;Selectează doc.justif.&gt;","")</f>
        <v xml:space="preserve"> &lt;Selectează doc.justif.&gt;</v>
      </c>
      <c r="G13" s="71"/>
    </row>
    <row r="14" spans="1:8">
      <c r="A14" s="63">
        <f t="shared" si="0"/>
        <v>8</v>
      </c>
      <c r="B14" s="70" t="s">
        <v>24</v>
      </c>
      <c r="C14" s="89"/>
      <c r="D14" s="88" t="s">
        <v>314</v>
      </c>
      <c r="E14" s="32"/>
      <c r="F14" s="77" t="str">
        <f>IF(AND(D14="x",E14="")," &lt;Selectează doc.justif.&gt;","")</f>
        <v xml:space="preserve"> &lt;Selectează doc.justif.&gt;</v>
      </c>
      <c r="G14" s="71"/>
    </row>
    <row r="15" spans="1:8" ht="15" customHeight="1">
      <c r="A15" s="156" t="s">
        <v>268</v>
      </c>
      <c r="B15" s="156"/>
      <c r="C15" s="156"/>
      <c r="D15" s="156"/>
      <c r="E15" s="156"/>
      <c r="F15" s="77"/>
      <c r="G15" s="71"/>
    </row>
    <row r="16" spans="1:8">
      <c r="A16" s="63">
        <f>A14+1</f>
        <v>9</v>
      </c>
      <c r="B16" s="70" t="s">
        <v>25</v>
      </c>
      <c r="C16" s="89"/>
      <c r="D16" s="88" t="s">
        <v>314</v>
      </c>
      <c r="E16" s="32"/>
      <c r="F16" s="77" t="str">
        <f>CONCATENATE(Calcule!D20,IF(AND(D16="x",E16="")," &lt;Selectează doc.justif.&gt;",""))</f>
        <v xml:space="preserve"> &lt;Selectează doc.justif.&gt;</v>
      </c>
      <c r="G16" s="71"/>
    </row>
    <row r="17" spans="1:8">
      <c r="A17" s="63">
        <f t="shared" si="0"/>
        <v>10</v>
      </c>
      <c r="B17" s="70" t="s">
        <v>26</v>
      </c>
      <c r="C17" s="89"/>
      <c r="D17" s="88" t="s">
        <v>314</v>
      </c>
      <c r="E17" s="32"/>
      <c r="F17" s="77" t="str">
        <f>CONCATENATE(Calcule!D21,IF(AND(D17="x",E17="")," &lt;Selectează doc.justif.&gt;",""))</f>
        <v xml:space="preserve"> &lt;Selectează doc.justif.&gt;</v>
      </c>
      <c r="G17" s="71"/>
    </row>
    <row r="18" spans="1:8" ht="27.6">
      <c r="A18" s="63">
        <f t="shared" si="0"/>
        <v>11</v>
      </c>
      <c r="B18" s="64" t="s">
        <v>322</v>
      </c>
      <c r="C18" s="90"/>
      <c r="D18" s="88" t="s">
        <v>314</v>
      </c>
      <c r="E18" s="32"/>
      <c r="F18" s="77" t="str">
        <f>CONCATENATE(IF(C18="","&lt;Completează&gt;",""),Calcule!D16,IF(AND(D18="x",E18="")," &lt;Selectează doc.justif.&gt;",""))</f>
        <v>&lt;Completează&gt; &lt;Selectează doc.justif.&gt;</v>
      </c>
      <c r="G18" s="71"/>
    </row>
    <row r="19" spans="1:8" ht="14.4" customHeight="1">
      <c r="A19" s="156" t="s">
        <v>50</v>
      </c>
      <c r="B19" s="156"/>
      <c r="C19" s="157"/>
      <c r="D19" s="72"/>
      <c r="E19" s="72"/>
      <c r="F19" s="77"/>
      <c r="G19" s="66"/>
      <c r="H19" s="34"/>
    </row>
    <row r="20" spans="1:8">
      <c r="A20" s="63">
        <f>A18+1</f>
        <v>12</v>
      </c>
      <c r="B20" s="68" t="s">
        <v>281</v>
      </c>
      <c r="C20" s="51"/>
      <c r="D20" s="67" t="s">
        <v>266</v>
      </c>
      <c r="E20" s="67" t="s">
        <v>266</v>
      </c>
      <c r="F20" s="77" t="str">
        <f>CONCATENATE(IF(G20="&lt;Selectează&gt;","Selectează mijlocul de deplasare",""),IF(AND(G20="Nu este cazul",C20&lt;&gt;"Nu este cazul"),"Selectează &lt;Nu este cazul&gt;",""))</f>
        <v>Selectează mijlocul de deplasare</v>
      </c>
      <c r="G20" s="73" t="str">
        <f>IF(C20="","&lt;Selectează&gt;","")</f>
        <v>&lt;Selectează&gt;</v>
      </c>
      <c r="H20" s="66"/>
    </row>
    <row r="21" spans="1:8" ht="14.4" customHeight="1">
      <c r="A21" s="156" t="s">
        <v>7</v>
      </c>
      <c r="B21" s="156"/>
      <c r="C21" s="157"/>
      <c r="D21" s="72"/>
      <c r="E21" s="72"/>
      <c r="F21" s="77"/>
      <c r="G21" s="34"/>
      <c r="H21" s="34"/>
    </row>
    <row r="22" spans="1:8" ht="27.6">
      <c r="A22" s="63">
        <f>A20+1</f>
        <v>13</v>
      </c>
      <c r="B22" s="68" t="s">
        <v>22</v>
      </c>
      <c r="C22" s="51"/>
      <c r="D22" s="67" t="s">
        <v>266</v>
      </c>
      <c r="E22" s="67" t="s">
        <v>266</v>
      </c>
      <c r="F22" s="77" t="str">
        <f>CONCATENATE(IF(AND(G22="&lt;Selectează&gt;",OR(C22="",C22="Nu este cazul")),"Selectează o localitate",""),IF(AND(G22="Nu este cazul",C22&lt;&gt;"Nu este cazul"),"Selectează &lt;Nu este cazul&gt;",""))</f>
        <v/>
      </c>
      <c r="G22" s="74" t="str">
        <f>CONCATENATE(IF(AND(OR($C$20="Avion",$C$20="Avion+tren"),OR(C22="",C22="Nu este cazul")),"&lt;Selectează&gt;",""),IF(OR($C$20="Tren",$C$20="Autoturism"),"Nu este cazul",""))</f>
        <v/>
      </c>
      <c r="H22" s="66"/>
    </row>
    <row r="23" spans="1:8" ht="27.6">
      <c r="A23" s="63">
        <f>A22+1</f>
        <v>14</v>
      </c>
      <c r="B23" s="68" t="s">
        <v>23</v>
      </c>
      <c r="C23" s="51"/>
      <c r="D23" s="67" t="s">
        <v>266</v>
      </c>
      <c r="E23" s="67" t="s">
        <v>266</v>
      </c>
      <c r="F23" s="77" t="str">
        <f>CONCATENATE(IF(AND(G23="&lt;Selectează&gt;",OR(C23="",C23="Nu este cazul")),"Selectează o localitate",""),IF(AND(G23="Nu este cazul",C23&lt;&gt;"Nu este cazul"),"Selectează &lt;Nu este cazul&gt;",""))</f>
        <v/>
      </c>
      <c r="G23" s="74" t="str">
        <f>CONCATENATE(IF(AND(OR($C$20="Avion",$C$20="Avion+tren"),OR(C23="",C23="Nu este cazul")),"&lt;Selectează&gt;",""),IF(OR($C$20="Tren",$C$20="Autoturism"),"Nu este cazul",""))</f>
        <v/>
      </c>
      <c r="H23" s="66"/>
    </row>
    <row r="24" spans="1:8" ht="14.4" customHeight="1">
      <c r="A24" s="156" t="s">
        <v>8</v>
      </c>
      <c r="B24" s="156"/>
      <c r="C24" s="156"/>
      <c r="D24" s="156"/>
      <c r="E24" s="156"/>
      <c r="F24" s="77"/>
      <c r="G24" s="34"/>
      <c r="H24" s="34"/>
    </row>
    <row r="25" spans="1:8" ht="27.6">
      <c r="A25" s="63">
        <f>A23+1</f>
        <v>15</v>
      </c>
      <c r="B25" s="68" t="s">
        <v>273</v>
      </c>
      <c r="C25" s="32"/>
      <c r="D25" s="67" t="s">
        <v>266</v>
      </c>
      <c r="E25" s="67" t="s">
        <v>266</v>
      </c>
      <c r="F25" s="77" t="str">
        <f>CONCATENATE(IF(AND(G25="&lt;Completează&gt;",OR(C25="",C25="Nu este cazul")),"Completează o localitate",""),IF(AND(G25="Nu este cazul",C25&lt;&gt;"Nu este cazul"),"Completează &lt;Nu este cazul&gt;",""))</f>
        <v/>
      </c>
      <c r="G25" s="74" t="str">
        <f>CONCATENATE(IF(AND(OR($C$20="Avion+Tren",$C$20="Tren"),OR(C25="",C25="Nu este cazul")),"&lt;Completează&gt;",""),IF(OR('Participant 1'!$C$20="Avion",'Participant 1'!$C$20="Autoturism"),"Nu este cazul",""))</f>
        <v/>
      </c>
      <c r="H25" s="69"/>
    </row>
    <row r="26" spans="1:8">
      <c r="A26" s="63">
        <f>A25+1</f>
        <v>16</v>
      </c>
      <c r="B26" s="68" t="s">
        <v>274</v>
      </c>
      <c r="C26" s="32"/>
      <c r="D26" s="67" t="s">
        <v>266</v>
      </c>
      <c r="E26" s="67" t="s">
        <v>266</v>
      </c>
      <c r="F26" s="77" t="str">
        <f>CONCATENATE(IF(AND(G26="&lt;Completează&gt;",OR(C26="",C26="Nu este cazul")),"Completează o localitate",""),IF(AND(G26="Nu este cazul",C26&lt;&gt;"Nu este cazul"),"Completează &lt;Nu este cazul&gt;",""))</f>
        <v/>
      </c>
      <c r="G26" s="74" t="str">
        <f>CONCATENATE(IF(AND(OR($C$20="Avion+Tren",$C$20="Tren"),OR(C26="",C26="Nu este cazul")),"&lt;Completează&gt;",""),IF(OR('Participant 1'!$C$20="Avion",'Participant 1'!$C$20="Autoturism"),"Nu este cazul",""))</f>
        <v/>
      </c>
      <c r="H26" s="69"/>
    </row>
    <row r="27" spans="1:8" ht="27.6">
      <c r="A27" s="63">
        <f>A26+1</f>
        <v>17</v>
      </c>
      <c r="B27" s="75" t="s">
        <v>275</v>
      </c>
      <c r="C27" s="32"/>
      <c r="D27" s="67" t="s">
        <v>266</v>
      </c>
      <c r="E27" s="67" t="s">
        <v>266</v>
      </c>
      <c r="F27" s="77" t="str">
        <f>CONCATENATE(IF(AND(G27="&lt;Completează&gt;",OR(C27="",C27="Nu este cazul")),"Completează o localitate",""),IF(AND(G27="Nu este cazul",C27&lt;&gt;"Nu este cazul"),"Completează &lt;Nu este cazul&gt;",""))</f>
        <v/>
      </c>
      <c r="G27" s="74" t="str">
        <f>CONCATENATE(IF(AND(OR($C$20="Avion+Tren",$C$20="Tren"),OR(C27="",C27="Nu este cazul")),"&lt;Completează&gt;",""),IF(OR('Participant 1'!$C$20="Avion",'Participant 1'!$C$20="Autoturism"),"Nu este cazul",""))</f>
        <v/>
      </c>
    </row>
    <row r="28" spans="1:8" ht="27.6">
      <c r="A28" s="63">
        <f>A27+1</f>
        <v>18</v>
      </c>
      <c r="B28" s="68" t="s">
        <v>280</v>
      </c>
      <c r="C28" s="32"/>
      <c r="D28" s="67" t="s">
        <v>266</v>
      </c>
      <c r="E28" s="67" t="s">
        <v>266</v>
      </c>
      <c r="F28" s="77" t="str">
        <f>CONCATENATE(IF(AND(G28="&lt;Completează&gt;",OR(C28="",C28="Nu este cazul")),"Completează o localitate",""),IF(AND(G28="Nu este cazul",C28&lt;&gt;"Nu este cazul"),"Completează &lt;Nu este cazul&gt;",""))</f>
        <v/>
      </c>
      <c r="G28" s="74" t="str">
        <f>CONCATENATE(IF(AND(OR($C$20="Avion+Tren",$C$20="Tren"),OR(C28="",C28="Nu este cazul")),"&lt;Completează&gt;",""),IF(OR('Participant 1'!$C$20="Avion",'Participant 1'!$C$20="Autoturism"),"Nu este cazul",""))</f>
        <v/>
      </c>
    </row>
    <row r="29" spans="1:8" ht="14.4" customHeight="1">
      <c r="A29" s="156" t="s">
        <v>13</v>
      </c>
      <c r="B29" s="156"/>
      <c r="C29" s="156"/>
      <c r="D29" s="156"/>
      <c r="E29" s="156"/>
      <c r="F29" s="77"/>
      <c r="G29" s="34"/>
      <c r="H29" s="34"/>
    </row>
    <row r="30" spans="1:8">
      <c r="A30" s="63">
        <f>A28+1</f>
        <v>19</v>
      </c>
      <c r="B30" s="68" t="s">
        <v>276</v>
      </c>
      <c r="C30" s="32"/>
      <c r="D30" s="67" t="s">
        <v>266</v>
      </c>
      <c r="E30" s="67" t="s">
        <v>266</v>
      </c>
      <c r="F30" s="77" t="str">
        <f>CONCATENATE(IF(AND(G30="&lt;Completează&gt;",OR(C30="",C30="Nu este cazul")),"Completează o localitate",""),IF(AND(G30="Nu este cazul",C30&lt;&gt;"Nu este cazul"),"Copmpletează &lt;Nu este cazul&gt;",""))</f>
        <v/>
      </c>
      <c r="G30" s="74" t="str">
        <f>CONCATENATE(IF(AND('Participant 1'!$C$20="Autoturism",OR(C30="",C30="Nu este cazul")),"&lt;Completează&gt;",""),IF(OR($C$20="Avion",$C$20="Avion+Tren",$C$20="Tren"),"Nu este cazul",""))</f>
        <v/>
      </c>
      <c r="H30" s="69"/>
    </row>
    <row r="31" spans="1:8">
      <c r="A31" s="63">
        <f>A30+1</f>
        <v>20</v>
      </c>
      <c r="B31" s="68" t="s">
        <v>277</v>
      </c>
      <c r="C31" s="32"/>
      <c r="D31" s="67" t="s">
        <v>266</v>
      </c>
      <c r="E31" s="67" t="s">
        <v>266</v>
      </c>
      <c r="F31" s="77" t="str">
        <f>CONCATENATE(IF(AND(G31="&lt;Completează&gt;",OR(C31="",C31="Nu este cazul")),"Completează o localitate",""),IF(AND(G31="Nu este cazul",C31&lt;&gt;"Nu este cazul"),"Copmpletează &lt;Nu este cazul&gt;",""))</f>
        <v/>
      </c>
      <c r="G31" s="74" t="str">
        <f>CONCATENATE(IF(AND('Participant 1'!$C$20="Autoturism",OR(C31="",C31="Nu este cazul")),"&lt;Completează&gt;",""),IF(OR('Participant 1'!$C$20="Avion",'Participant 1'!$C$20="Tren"),"Nu este cazul",""))</f>
        <v/>
      </c>
      <c r="H31" s="69"/>
    </row>
    <row r="32" spans="1:8">
      <c r="A32" s="63">
        <f>A31+1</f>
        <v>21</v>
      </c>
      <c r="B32" s="68" t="s">
        <v>279</v>
      </c>
      <c r="C32" s="32"/>
      <c r="D32" s="67" t="s">
        <v>266</v>
      </c>
      <c r="E32" s="67" t="s">
        <v>266</v>
      </c>
      <c r="F32" s="77" t="str">
        <f>CONCATENATE(IF(AND(G32="&lt;Completează&gt;",OR(C32="",C32="Nu este cazul")),"Completează o localitate",""),IF(AND(G32="Nu este cazul",C32&lt;&gt;"Nu este cazul"),"Copmpletează &lt;Nu este cazul&gt;",""))</f>
        <v/>
      </c>
      <c r="G32" s="74" t="str">
        <f>CONCATENATE(IF(AND('Participant 1'!$C$20="Autoturism",OR(C32="",C32="Nu este cazul")),"&lt;Completează&gt;",""),IF(OR('Participant 1'!$C$20="Avion",'Participant 1'!$C$20="Tren"),"Nu este cazul",""))</f>
        <v/>
      </c>
      <c r="H32" s="69"/>
    </row>
    <row r="33" spans="1:8">
      <c r="A33" s="63">
        <f>A32+1</f>
        <v>22</v>
      </c>
      <c r="B33" s="68" t="s">
        <v>278</v>
      </c>
      <c r="C33" s="32"/>
      <c r="D33" s="67" t="s">
        <v>266</v>
      </c>
      <c r="E33" s="67" t="s">
        <v>266</v>
      </c>
      <c r="F33" s="77" t="str">
        <f>CONCATENATE(IF(AND(G33="&lt;Completează&gt;",OR(C33="",C33="Nu este cazul")),"Completează o localitate",""),IF(AND(G33="Nu este cazul",C33&lt;&gt;"Nu este cazul"),"Copmpletează &lt;Nu este cazul&gt;",""))</f>
        <v/>
      </c>
      <c r="G33" s="74" t="str">
        <f>CONCATENATE(IF(AND('Participant 1'!$C$20="Autoturism",OR(C33="",C33="Nu este cazul")),"&lt;Completează&gt;",""),IF(OR('Participant 1'!$C$20="Avion",'Participant 1'!$C$20="Tren"),"Nu este cazul",""))</f>
        <v/>
      </c>
      <c r="H33" s="69"/>
    </row>
    <row r="34" spans="1:8" ht="14.4" customHeight="1">
      <c r="A34" s="156" t="s">
        <v>283</v>
      </c>
      <c r="B34" s="156"/>
      <c r="C34" s="156"/>
      <c r="D34" s="156"/>
      <c r="E34" s="156"/>
      <c r="F34" s="77"/>
      <c r="G34" s="74"/>
      <c r="H34" s="66"/>
    </row>
    <row r="35" spans="1:8">
      <c r="A35" s="63">
        <f>A33+1</f>
        <v>23</v>
      </c>
      <c r="B35" s="76" t="s">
        <v>250</v>
      </c>
      <c r="C35" s="51"/>
      <c r="D35" s="67" t="s">
        <v>266</v>
      </c>
      <c r="E35" s="67" t="s">
        <v>266</v>
      </c>
      <c r="F35" s="77" t="str">
        <f>CONCATENATE(IF(AND(G35="&lt;Selectează&gt;",OR(C35="",C35="Nu este cazul")),"Selectează &lt;Da&gt; sau &lt;Nu&gt;",""),IF(AND(G35="Nu este cazul",C35&lt;&gt;"Nu este cazul"),"Selectează &lt;Nu este cazul&gt;",""))</f>
        <v/>
      </c>
      <c r="G35" s="74" t="str">
        <f>CONCATENATE(IF(AND(OR($C$20="Avion",$C$20="Avion+Tren"),OR(C35="",C35="Nu este cazul")),"&lt;Selectează&gt;",""),IF(OR($C$20="Tren",'Participant 1'!$C$20="Autoturism"),"Nu este cazul",""))</f>
        <v/>
      </c>
      <c r="H35" s="66"/>
    </row>
    <row r="36" spans="1:8">
      <c r="A36" s="63">
        <f t="shared" ref="A36:A42" si="1">A35+1</f>
        <v>24</v>
      </c>
      <c r="B36" s="78" t="s">
        <v>251</v>
      </c>
      <c r="C36" s="51"/>
      <c r="D36" s="88" t="str">
        <f>IF(C35="DA","x","-")</f>
        <v>-</v>
      </c>
      <c r="E36" s="32"/>
      <c r="F36" s="77" t="str">
        <f>CONCATENATE(IF(AND(G36="&lt;Introdu distanța&gt;",ISNUMBER(C36)&lt;&gt;TRUE),"&lt;Introdu distanța&gt;",""),IF(AND(G36="Nu este cazul",C36&lt;&gt;"Nu este cazul"),"Completează cu &lt;Nu este cazul&gt;",""),IF(AND(D36="x",E36="")," &lt;Selectează doc.justif.&gt;",""))</f>
        <v/>
      </c>
      <c r="G36" s="74" t="str">
        <f>CONCATENATE(IF(AND(OR($C$20="Avion",$C$20="Avion+Tren"),$C35="DA",ISNUMBER(C36)=FALSE),"&lt;Introdu distanța&gt;",""),IF(AND(OR($C$20="Avion",$C$20="Avion+Tren"),$C35="NU"),"Nu este cazul",""),IF(OR('Participant 1'!$C$20="Tren",'Participant 1'!$C$20="Autoturism"),"Nu este cazul",""))</f>
        <v/>
      </c>
      <c r="H36" s="66"/>
    </row>
    <row r="37" spans="1:8">
      <c r="A37" s="63">
        <f t="shared" si="1"/>
        <v>25</v>
      </c>
      <c r="B37" s="78" t="s">
        <v>304</v>
      </c>
      <c r="C37" s="51"/>
      <c r="D37" s="67" t="s">
        <v>266</v>
      </c>
      <c r="E37" s="67" t="s">
        <v>266</v>
      </c>
      <c r="F37" s="77" t="str">
        <f>CONCATENATE(IF(AND(G37="&lt;Selectează tip alimentare&gt;",OR(C37="",C37="Nu este cazul")),"&lt;Selectează tip alimentare&gt;",""),IF(AND(G37="Nu este cazul",C37&lt;&gt;"Nu este cazul"),"Selectează &lt;Nu este cazul&gt;",""))</f>
        <v/>
      </c>
      <c r="G37" s="74" t="str">
        <f>CONCATENATE(IF(AND(OR($C$20="Avion",$C$20="Avion+Tren"),$C35="DA"),"&lt;Selectează tip alimentare&gt;",""),IF(AND(OR($C$20="Avion",$C$20="Avion+Tren"),$C35="NU"),"Nu este cazul",""),IF(OR('Participant 1'!$C$20="Tren",'Participant 1'!$C$20="Autoturism"),"Nu este cazul",""))</f>
        <v/>
      </c>
      <c r="H37" s="66"/>
    </row>
    <row r="38" spans="1:8">
      <c r="A38" s="63">
        <f t="shared" si="1"/>
        <v>26</v>
      </c>
      <c r="B38" s="78" t="str">
        <f>CONCATENATE("Consum la 100 Km ",IF(C37="Energie electrică","(kWh/100 Km) - WLTP",""),IF(C37="Benzină/motorină","(7,5 litri/100 Km)",""))</f>
        <v xml:space="preserve">Consum la 100 Km </v>
      </c>
      <c r="C38" s="51"/>
      <c r="D38" s="88" t="str">
        <f>IF(OR($C$37="Energie electrică"),"x","-")</f>
        <v>-</v>
      </c>
      <c r="E38" s="32"/>
      <c r="F38" s="77" t="str">
        <f>CONCATENATE(IF(AND(G38="&lt;Introdu consum&gt;",ISNUMBER(C38)&lt;&gt;TRUE),"&lt;Introdu consum&gt;",""),IF(AND(G38="Nu este cazul",C38&lt;&gt;"Nu este cazul"),"Completează cu &lt;Nu este cazul&gt;",""),IF(AND(C37="Benzină/motorină",C38&lt;&gt;7.5),"7,5 litri/100Km",""),IF(AND(D38="x",E38="")," &lt;Selectează doc.justif.&gt;",""))</f>
        <v/>
      </c>
      <c r="G38" s="74" t="str">
        <f>CONCATENATE(IF(AND(OR($C$20="Avion",$C$20="Avion+Tren"),$C35="DA",OR($C$37="Energie electrică",$C$37="Benzină/motorină"),ISNUMBER(C38)=FALSE),"&lt;Introdu consum&gt;",""),IF(AND(OR($C$20="Avion",$C$20="Avion+Tren"),$C35="NU"),"Nu este cazul",""),IF(OR('Participant 1'!$C$20="Tren",'Participant 1'!$C$20="Autoturism"),"Nu este cazul",""))</f>
        <v/>
      </c>
      <c r="H38" s="66"/>
    </row>
    <row r="39" spans="1:8">
      <c r="A39" s="63">
        <f t="shared" si="1"/>
        <v>27</v>
      </c>
      <c r="B39" s="78" t="s">
        <v>309</v>
      </c>
      <c r="C39" s="51"/>
      <c r="D39" s="88" t="str">
        <f>IF(OR($C$37="Benzină/motorină",$C$37="Energie electrică"),"x","-")</f>
        <v>-</v>
      </c>
      <c r="E39" s="32"/>
      <c r="F39" s="77" t="str">
        <f>CONCATENATE(IF(AND(G39="&lt;Introdu valoare&gt;",ISNUMBER(C39)&lt;&gt;TRUE),"&lt;Introdu valoare&gt;",""),IF(AND(G39="Nu este cazul",C39&lt;&gt;"Nu este cazul"),"Completează cu &lt;Nu este cazul&gt;",""),IF(AND(C38="Benzină/motorină",C39&lt;&gt;7.5),"7,5 litri/100Km",""),IF(AND(D39="x",E39="")," &lt;Selectează doc.justif.&gt;",""))</f>
        <v/>
      </c>
      <c r="G39" s="74" t="str">
        <f>CONCATENATE(IF(AND(OR($C$20="Avion",$C$20="Avion+Tren"),$C35="DA",OR($C$37="Energie electrică",$C$37="Benzină/motorină"),ISNUMBER(C39)=FALSE),"&lt;Introdu valoare&gt;",""),IF(AND(OR($C$20="Avion",$C$20="Avion+Tren"),$C35="NU"),"Nu este cazul",""),IF(OR('Participant 1'!$C$20="Tren",'Participant 1'!$C$20="Autoturism"),"Nu este cazul",""))</f>
        <v/>
      </c>
      <c r="H39" s="66"/>
    </row>
    <row r="40" spans="1:8">
      <c r="A40" s="63">
        <f t="shared" si="1"/>
        <v>28</v>
      </c>
      <c r="B40" s="78" t="str">
        <f>CONCATENATE("Preț ",IF(C37="Energie electrică","pe kWh - lei",""),IF(C37="Benzină/motorină","pe litru - lei",""))</f>
        <v xml:space="preserve">Preț </v>
      </c>
      <c r="C40" s="51"/>
      <c r="D40" s="88" t="str">
        <f>IF(OR($C$37="Benzină/motorină",$C$37="Energie electrică"),"x","-")</f>
        <v>-</v>
      </c>
      <c r="E40" s="32"/>
      <c r="F40" s="77" t="str">
        <f>CONCATENATE(IF(AND(G40="&lt;Introdu preț&gt;",ISNUMBER(C40)&lt;&gt;TRUE),"&lt;Introdu preț&gt;",""),IF(AND(G40="Nu este cazul",C40&lt;&gt;"Nu este cazul"),"Completează cu &lt;Nu este cazul&gt;",""),IF(AND(C39="Benzină/motorină",C40&lt;&gt;7.5),"7,5 litri/100Km",""),IF(AND(D40="x",E40="")," &lt;Selectează doc.justif.&gt;",""))</f>
        <v/>
      </c>
      <c r="G40" s="74" t="str">
        <f>CONCATENATE(IF(AND(OR($C$20="Avion",$C$20="Avion+Tren"),$C35="DA",OR($C$37="Energie electrică",$C$37="Benzină/motorină"),ISNUMBER(C40)=FALSE),"&lt;Introdu preț&gt;",""),IF(AND(OR($C$20="Avion",$C$20="Avion+Tren"),$C35="NU"),"Nu este cazul",""),IF(OR('Participant 1'!$C$20="Tren",'Participant 1'!$C$20="Autoturism"),"Nu este cazul",""))</f>
        <v/>
      </c>
      <c r="H40" s="66"/>
    </row>
    <row r="41" spans="1:8" ht="27.6">
      <c r="A41" s="63">
        <f t="shared" si="1"/>
        <v>29</v>
      </c>
      <c r="B41" s="76" t="s">
        <v>252</v>
      </c>
      <c r="C41" s="51"/>
      <c r="D41" s="88" t="str">
        <f>IF(OR($C$37="Benzină/motorină",$C$37="Energie electrică"),"x","-")</f>
        <v>-</v>
      </c>
      <c r="E41" s="67" t="s">
        <v>266</v>
      </c>
      <c r="F41" s="77" t="str">
        <f>CONCATENATE(IF(AND(G41="&lt;Selectează&gt;",OR(C41="",C41="Nu este cazul")),"Selectează &lt;Da&gt; sau &lt;Nu&gt;",""),IF(AND(G41="Nu este cazul",C41&lt;&gt;"Nu este cazul"),"Selectează &lt;Nu este cazul&gt;",""),IF(AND(D41="x",E41="")," &lt;Selectează doc.justif.&gt;",""))</f>
        <v/>
      </c>
      <c r="G41" s="74" t="str">
        <f>CONCATENATE(IF(AND(OR($C$20="Avion",$C$20="Avion+Tren"),OR(C41="",C41="Nu este cazul")),"&lt;Selectează&gt;",""),IF(OR($C$20="Tren",'Participant 1'!$C$20="Autoturism"),"Nu este cazul",""))</f>
        <v/>
      </c>
      <c r="H41" s="66"/>
    </row>
    <row r="42" spans="1:8">
      <c r="A42" s="63">
        <f t="shared" si="1"/>
        <v>30</v>
      </c>
      <c r="B42" s="96" t="s">
        <v>318</v>
      </c>
      <c r="C42" s="51"/>
      <c r="D42" s="88" t="str">
        <f>IF(OR($C$41="DA"),"x","-")</f>
        <v>-</v>
      </c>
      <c r="E42" s="97"/>
      <c r="F42" s="77" t="str">
        <f>CONCATENATE(IF(AND(G42="&lt;Introdu valoare&gt;",ISNUMBER(C42)&lt;&gt;TRUE),"&lt;Introdu valoare&gt;",""),IF(AND(G42="Nu este cazul",C42&lt;&gt;"Nu este cazul"),"Completează cu &lt;Nu este cazul&gt;",""),IF(AND(D42="x",E42="")," &lt;Selectează doc.justif.&gt;",""))</f>
        <v/>
      </c>
      <c r="G42" s="74" t="str">
        <f>CONCATENATE(IF(AND($C$41="DA",ISNUMBER(C42)=FALSE),"&lt;Introdu valoare&gt;",""),IF(C41="NU","Nu este cazul",""),IF(OR('Participant 1'!$C$20="Tren",'Participant 1'!$C$20="Autoturism"),"Nu este cazul",""))</f>
        <v/>
      </c>
      <c r="H42" s="66"/>
    </row>
    <row r="43" spans="1:8" ht="13.8" customHeight="1">
      <c r="A43" s="156" t="s">
        <v>284</v>
      </c>
      <c r="B43" s="156"/>
      <c r="C43" s="156"/>
      <c r="D43" s="156"/>
      <c r="E43" s="156"/>
      <c r="F43" s="77"/>
      <c r="G43" s="74"/>
      <c r="H43" s="66"/>
    </row>
    <row r="44" spans="1:8">
      <c r="A44" s="63">
        <f>A42+1</f>
        <v>31</v>
      </c>
      <c r="B44" s="76" t="s">
        <v>250</v>
      </c>
      <c r="C44" s="51"/>
      <c r="D44" s="67" t="s">
        <v>266</v>
      </c>
      <c r="E44" s="67" t="s">
        <v>266</v>
      </c>
      <c r="F44" s="77" t="str">
        <f>CONCATENATE(IF(AND(G44="&lt;Selectează&gt;",OR(C44="",C44="Nu este cazul")),"Selectează &lt;Da&gt; sau &lt;Nu&gt;",""),IF(AND(G44="Nu este cazul",C44&lt;&gt;"Nu este cazul"),"Selectează &lt;Nu este cazul&gt;",""))</f>
        <v/>
      </c>
      <c r="G44" s="74" t="str">
        <f>CONCATENATE(IF(AND(OR($C$20="Avion",$C$20="Avion+Tren"),OR(C44="",C44="Nu este cazul")),"&lt;Selectează&gt;",""),IF(OR($C$20="Tren",'Participant 1'!$C$20="Autoturism"),"Nu este cazul",""))</f>
        <v/>
      </c>
      <c r="H44" s="66"/>
    </row>
    <row r="45" spans="1:8">
      <c r="A45" s="63">
        <f t="shared" ref="A45:A51" si="2">A44+1</f>
        <v>32</v>
      </c>
      <c r="B45" s="64" t="s">
        <v>251</v>
      </c>
      <c r="C45" s="51"/>
      <c r="D45" s="88" t="str">
        <f>IF(C45&lt;&gt;0,"x","-")</f>
        <v>-</v>
      </c>
      <c r="E45" s="32"/>
      <c r="F45" s="77" t="str">
        <f>CONCATENATE(IF(AND(G45="&lt;Introdu distanța&gt;",ISNUMBER(C45)&lt;&gt;TRUE),"&lt;Introdu distanța&gt;",""),IF(AND(G45="Nu este cazul",C45&lt;&gt;"Nu este cazul"),"Completează cu &lt;Nu este cazul&gt;",""))</f>
        <v/>
      </c>
      <c r="G45" s="74" t="str">
        <f>CONCATENATE(IF(AND(OR($C$20="Avion",$C$20="Avion+Tren"),$C44="DA",ISNUMBER(C45)=FALSE),"&lt;Introdu distanța&gt;",""),IF(AND(OR($C$20="Avion",$C$20="Avion+Tren"),$C44="NU"),"Nu este cazul",""),IF(OR('Participant 1'!$C$20="Tren",'Participant 1'!$C$20="Autoturism"),"Nu este cazul",""))</f>
        <v/>
      </c>
      <c r="H45" s="66"/>
    </row>
    <row r="46" spans="1:8">
      <c r="A46" s="63">
        <f t="shared" si="2"/>
        <v>33</v>
      </c>
      <c r="B46" s="78" t="s">
        <v>304</v>
      </c>
      <c r="C46" s="51"/>
      <c r="D46" s="67" t="s">
        <v>266</v>
      </c>
      <c r="E46" s="67" t="s">
        <v>266</v>
      </c>
      <c r="F46" s="77" t="str">
        <f>CONCATENATE(IF(AND(G46="&lt;Selectează tip alimentare&gt;",OR(C46="",C46="Nu este cazul")),"&lt;Selectează tip alimentare&gt;",""),IF(AND(G46="Nu este cazul",C46&lt;&gt;"Nu este cazul"),"Selectează &lt;Nu este cazul&gt;",""))</f>
        <v/>
      </c>
      <c r="G46" s="74" t="str">
        <f>CONCATENATE(IF(AND(OR($C$20="Avion",$C$20="Avion+Tren"),$C44="DA"),"&lt;Selectează tip alimentare&gt;",""),IF(AND(OR($C$20="Avion",$C$20="Avion+Tren"),$C44="NU"),"Nu este cazul",""),IF(OR('Participant 1'!$C$20="Tren",'Participant 1'!$C$20="Autoturism"),"Nu este cazul",""))</f>
        <v/>
      </c>
      <c r="H46" s="66"/>
    </row>
    <row r="47" spans="1:8">
      <c r="A47" s="63">
        <f t="shared" si="2"/>
        <v>34</v>
      </c>
      <c r="B47" s="78" t="str">
        <f>CONCATENATE("Consum la 100 Km ",IF(C46="Energie electrică","(kWh/100 Km) - WLTP",""),IF(C46="Benzină/motorină","(7,5 litri/100 Km)",""))</f>
        <v xml:space="preserve">Consum la 100 Km </v>
      </c>
      <c r="C47" s="51"/>
      <c r="D47" s="88" t="str">
        <f>IF(OR($C$46="Energie electrică"),"x","-")</f>
        <v>-</v>
      </c>
      <c r="E47" s="32"/>
      <c r="F47" s="77" t="str">
        <f>CONCATENATE(IF(AND(G47="&lt;Introdu consum&gt;",ISNUMBER(C47)&lt;&gt;TRUE),"&lt;Introdu consum&gt;",""),IF(AND(G47="Nu este cazul",C47&lt;&gt;"Nu este cazul"),"Completează cu &lt;Nu este cazul&gt;",""),IF(AND(C46="Benzină/motorină",C47&lt;&gt;7.5),"7,5 litri/100Km",""))</f>
        <v/>
      </c>
      <c r="G47" s="74" t="str">
        <f>CONCATENATE(IF(AND(OR($C$20="Avion",$C$20="Avion+Tren"),$C44="DA",OR($C$37="Energie electrică",$C$37="Benzină/motorină"),ISNUMBER(C47)=FALSE),"&lt;Introdu consum&gt;",""),IF(AND(OR($C$20="Avion",$C$20="Avion+Tren"),$C44="NU"),"Nu este cazul",""),IF(OR('Participant 1'!$C$20="Tren",'Participant 1'!$C$20="Autoturism"),"Nu este cazul",""))</f>
        <v/>
      </c>
      <c r="H47" s="66"/>
    </row>
    <row r="48" spans="1:8">
      <c r="A48" s="63">
        <f t="shared" si="2"/>
        <v>35</v>
      </c>
      <c r="B48" s="78" t="s">
        <v>309</v>
      </c>
      <c r="C48" s="51"/>
      <c r="D48" s="88" t="str">
        <f>IF(OR($C$46="Benzină/motorină",$C$46="Energie electrică"),"x","-")</f>
        <v>-</v>
      </c>
      <c r="E48" s="32"/>
      <c r="F48" s="77" t="str">
        <f>CONCATENATE(IF(AND(G48="&lt;Introdu valoare&gt;",ISNUMBER(C48)&lt;&gt;TRUE),"&lt;Introdu valoare&gt;",""),IF(AND(G48="Nu este cazul",C48&lt;&gt;"Nu este cazul"),"Completează cu &lt;Nu este cazul&gt;",""),IF(AND(C47="Benzină/motorină",C48&lt;&gt;7.5),"7,5 litri/100Km",""),IF(AND(D48="x",E48="")," &lt;Selectează doc.justif.&gt;",""))</f>
        <v/>
      </c>
      <c r="G48" s="74" t="str">
        <f>CONCATENATE(IF(AND(OR($C$20="Avion",$C$20="Avion+Tren"),$C44="DA",OR($C$37="Energie electrică",$C$37="Benzină/motorină"),ISNUMBER(C48)=FALSE),"&lt;Introdu valoare&gt;",""),IF(AND(OR($C$20="Avion",$C$20="Avion+Tren"),$C44="NU"),"Nu este cazul",""),IF(OR('Participant 1'!$C$20="Tren",'Participant 1'!$C$20="Autoturism"),"Nu este cazul",""))</f>
        <v/>
      </c>
      <c r="H48" s="66"/>
    </row>
    <row r="49" spans="1:13">
      <c r="A49" s="63">
        <f t="shared" si="2"/>
        <v>36</v>
      </c>
      <c r="B49" s="78" t="str">
        <f>CONCATENATE("Preț ",IF(C46="Energie electrică","pe kWh - lei",""),IF(C46="Benzină/motorină","pe litru - lei",""))</f>
        <v xml:space="preserve">Preț </v>
      </c>
      <c r="C49" s="51"/>
      <c r="D49" s="88" t="str">
        <f>IF(OR($C$46="Benzină/motorină",$C$46="Energie electrică"),"x","-")</f>
        <v>-</v>
      </c>
      <c r="E49" s="32"/>
      <c r="F49" s="77" t="str">
        <f>CONCATENATE(IF(AND(G49="&lt;Introdu preț&gt;",ISNUMBER(C49)&lt;&gt;TRUE),"&lt;Introdu preț&gt;",""),IF(AND(G49="Nu este cazul",C49&lt;&gt;"Nu este cazul"),"Completează cu &lt;Nu este cazul&gt;",""),IF(AND(C48="Benzină/motorină",C49&lt;&gt;7.5),"7,5 litri/100Km",""),IF(AND(D49="x",E49="")," &lt;Selectează doc.justif.&gt;",""))</f>
        <v/>
      </c>
      <c r="G49" s="74" t="str">
        <f>CONCATENATE(IF(AND(OR($C$20="Avion",$C$20="Avion+Tren"),$C44="DA",OR($C$37="Energie electrică",$C$37="Benzină/motorină"),ISNUMBER(C49)=FALSE),"&lt;Introdu preț&gt;",""),IF(AND(OR($C$20="Avion",$C$20="Avion+Tren"),$C44="NU"),"Nu este cazul",""),IF(OR('Participant 1'!$C$20="Tren",'Participant 1'!$C$20="Autoturism"),"Nu este cazul",""))</f>
        <v/>
      </c>
      <c r="H49" s="66"/>
    </row>
    <row r="50" spans="1:13" ht="27.6">
      <c r="A50" s="63">
        <f t="shared" si="2"/>
        <v>37</v>
      </c>
      <c r="B50" s="76" t="s">
        <v>252</v>
      </c>
      <c r="C50" s="51"/>
      <c r="D50" s="88" t="str">
        <f>IF(OR($C$37="Benzină/motorină",$C$37="Energie electrică"),"x","-")</f>
        <v>-</v>
      </c>
      <c r="E50" s="67" t="s">
        <v>266</v>
      </c>
      <c r="F50" s="77" t="str">
        <f>CONCATENATE(IF(AND(G50="&lt;Selectează&gt;",OR(C50="",C50="Nu este cazul")),"Selectează &lt;Da&gt; sau &lt;Nu&gt;",""),IF(AND(G50="Nu este cazul",C50&lt;&gt;"Nu este cazul"),"Selectează &lt;Nu este cazul&gt;",""),IF(AND(D50="x",E50="")," &lt;Selectează doc.justif.&gt;",""))</f>
        <v/>
      </c>
      <c r="G50" s="74" t="str">
        <f>CONCATENATE(IF(AND(OR($C$20="Avion",$C$20="Avion+Tren"),OR(C50="",C50="Nu este cazul")),"&lt;Selectează&gt;",""),IF(OR($C$20="Tren",'Participant 1'!$C$20="Autoturism"),"Nu este cazul",""))</f>
        <v/>
      </c>
      <c r="H50" s="66"/>
    </row>
    <row r="51" spans="1:13">
      <c r="A51" s="63">
        <f t="shared" si="2"/>
        <v>38</v>
      </c>
      <c r="B51" s="96" t="s">
        <v>318</v>
      </c>
      <c r="C51" s="51"/>
      <c r="D51" s="88" t="str">
        <f>IF(OR($C$50="DA"),"x","-")</f>
        <v>-</v>
      </c>
      <c r="E51" s="97"/>
      <c r="F51" s="77" t="str">
        <f>CONCATENATE(IF(AND(G51="&lt;Introdu valoare&gt;",ISNUMBER(C51)&lt;&gt;TRUE),"&lt;Introdu valoare&gt;",""),IF(AND(G51="Nu este cazul",C51&lt;&gt;"Nu este cazul"),"Completează cu &lt;Nu este cazul&gt;",""),IF(AND(D51="x",E51="")," &lt;Selectează doc.justif.&gt;",""))</f>
        <v/>
      </c>
      <c r="G51" s="74" t="str">
        <f>CONCATENATE(IF(AND($C$50="DA",ISNUMBER(C51)=FALSE),"&lt;Introdu valoare&gt;",""),IF(C50="NU","Nu este cazul",""),IF(OR('Participant 1'!$C$20="Tren",'Participant 1'!$C$20="Autoturism"),"Nu este cazul",""))</f>
        <v/>
      </c>
      <c r="H51" s="86"/>
    </row>
    <row r="52" spans="1:13">
      <c r="A52" s="158" t="s">
        <v>333</v>
      </c>
      <c r="B52" s="159"/>
      <c r="C52" s="79" t="str">
        <f>CONCATENATE("Valoare - ",Calcule!C5)</f>
        <v>Valoare - 0</v>
      </c>
      <c r="D52" s="160"/>
      <c r="E52" s="161"/>
      <c r="F52" s="93"/>
    </row>
    <row r="53" spans="1:13" ht="27.6">
      <c r="A53" s="63">
        <f>A51+1</f>
        <v>39</v>
      </c>
      <c r="B53" s="70" t="s">
        <v>258</v>
      </c>
      <c r="C53" s="33"/>
      <c r="D53" s="88" t="str">
        <f>IF(C53&lt;&gt;0,"x","")</f>
        <v/>
      </c>
      <c r="E53" s="32"/>
      <c r="F53" s="77" t="str">
        <f>IF(AND(D53="x",E53="")," &lt;Selectează doc.justif.&gt;","")</f>
        <v/>
      </c>
    </row>
    <row r="54" spans="1:13">
      <c r="A54" s="63">
        <f t="shared" ref="A54:A59" si="3">A53+1</f>
        <v>40</v>
      </c>
      <c r="B54" s="70" t="s">
        <v>282</v>
      </c>
      <c r="C54" s="33"/>
      <c r="D54" s="88" t="str">
        <f>IF(C54&lt;&gt;0,"x","")</f>
        <v/>
      </c>
      <c r="E54" s="32"/>
      <c r="F54" s="77" t="str">
        <f>IF(AND(D54="x",E54="")," &lt;Selectează doc.justif.&gt;","")</f>
        <v/>
      </c>
    </row>
    <row r="55" spans="1:13">
      <c r="A55" s="63">
        <f t="shared" si="3"/>
        <v>41</v>
      </c>
      <c r="B55" s="70" t="s">
        <v>260</v>
      </c>
      <c r="C55" s="33"/>
      <c r="D55" s="88" t="str">
        <f>IF(C55&lt;&gt;0,"x","")</f>
        <v/>
      </c>
      <c r="E55" s="32"/>
      <c r="F55" s="77" t="str">
        <f>CONCATENATE(Calcule!D22," ",IF(AND(D55="x",E55="")," &lt;Selectează doc.justif.&gt;",""))</f>
        <v xml:space="preserve"> </v>
      </c>
    </row>
    <row r="56" spans="1:13">
      <c r="A56" s="63">
        <f t="shared" si="3"/>
        <v>42</v>
      </c>
      <c r="B56" s="70" t="s">
        <v>34</v>
      </c>
      <c r="C56" s="33"/>
      <c r="D56" s="88" t="str">
        <f>IF(C56&lt;&gt;0,"x","")</f>
        <v/>
      </c>
      <c r="E56" s="32"/>
      <c r="F56" s="77" t="str">
        <f>CONCATENATE(Calcule!D25," ",IF(AND(D56="x",E56="")," &lt;Selectează doc.justif.&gt;",""))</f>
        <v xml:space="preserve"> </v>
      </c>
    </row>
    <row r="57" spans="1:13" s="34" customFormat="1" ht="41.4">
      <c r="A57" s="63">
        <f t="shared" si="3"/>
        <v>43</v>
      </c>
      <c r="B57" s="68" t="s">
        <v>321</v>
      </c>
      <c r="C57" s="33"/>
      <c r="D57" s="88" t="str">
        <f>IF(C57&lt;&gt;0,"x","")</f>
        <v/>
      </c>
      <c r="E57" s="32"/>
      <c r="F57" s="77" t="str">
        <f>IF(AND(D57="x",E57="")," &lt;Selectează doc.justif.&gt;","")</f>
        <v/>
      </c>
      <c r="H57" s="31"/>
      <c r="I57" s="31"/>
      <c r="J57" s="31"/>
      <c r="K57" s="31"/>
      <c r="L57" s="31"/>
      <c r="M57" s="31"/>
    </row>
    <row r="58" spans="1:13" s="34" customFormat="1">
      <c r="A58" s="63">
        <f t="shared" si="3"/>
        <v>44</v>
      </c>
      <c r="B58" s="111" t="str">
        <f>CONCATENATE("TOTAL [ (39) + ... + (43) ] - ",Calcule!C5)</f>
        <v>TOTAL [ (39) + ... + (43) ] - 0</v>
      </c>
      <c r="C58" s="80">
        <f>SUM(C53:C57)</f>
        <v>0</v>
      </c>
      <c r="D58" s="67" t="s">
        <v>266</v>
      </c>
      <c r="E58" s="67" t="s">
        <v>266</v>
      </c>
      <c r="F58" s="94"/>
      <c r="H58" s="31"/>
      <c r="I58" s="31"/>
      <c r="J58" s="31"/>
      <c r="K58" s="31"/>
      <c r="L58" s="31"/>
      <c r="M58" s="31"/>
    </row>
    <row r="59" spans="1:13" s="34" customFormat="1" ht="27.6">
      <c r="A59" s="63">
        <f t="shared" si="3"/>
        <v>45</v>
      </c>
      <c r="B59" s="81" t="s">
        <v>338</v>
      </c>
      <c r="C59" s="82">
        <f>C58*C11</f>
        <v>0</v>
      </c>
      <c r="D59" s="67" t="s">
        <v>266</v>
      </c>
      <c r="E59" s="67" t="s">
        <v>266</v>
      </c>
      <c r="F59" s="94"/>
      <c r="H59" s="31"/>
      <c r="I59" s="31"/>
      <c r="J59" s="31"/>
      <c r="K59" s="31"/>
      <c r="L59" s="31"/>
      <c r="M59" s="31"/>
    </row>
    <row r="60" spans="1:13" ht="14.4" customHeight="1">
      <c r="A60" s="158" t="s">
        <v>334</v>
      </c>
      <c r="B60" s="159"/>
      <c r="C60" s="79" t="s">
        <v>263</v>
      </c>
      <c r="D60" s="160"/>
      <c r="E60" s="161"/>
      <c r="F60" s="93"/>
      <c r="M60" s="34"/>
    </row>
    <row r="61" spans="1:13" ht="27.6">
      <c r="A61" s="63">
        <f>A59+1</f>
        <v>46</v>
      </c>
      <c r="B61" s="70" t="s">
        <v>259</v>
      </c>
      <c r="C61" s="35"/>
      <c r="D61" s="88" t="str">
        <f>IF(C61&lt;&gt;0,"x","")</f>
        <v/>
      </c>
      <c r="E61" s="32"/>
      <c r="F61" s="77" t="str">
        <f>IF(AND(D61="x",E61="")," &lt;Selectează doc.justif.&gt;","")</f>
        <v/>
      </c>
      <c r="K61" s="34"/>
      <c r="L61" s="34"/>
    </row>
    <row r="62" spans="1:13" ht="27.6">
      <c r="A62" s="63">
        <f t="shared" ref="A62:A68" si="4">A61+1</f>
        <v>47</v>
      </c>
      <c r="B62" s="70" t="s">
        <v>261</v>
      </c>
      <c r="C62" s="35"/>
      <c r="D62" s="88" t="str">
        <f>IF(C62&lt;&gt;0,"x","")</f>
        <v/>
      </c>
      <c r="E62" s="32"/>
      <c r="F62" s="77" t="str">
        <f>CONCATENATE(Calcule!D33," ",IF(AND(D62="x",E62="")," &lt;Selectează doc.justif.&gt;",""))</f>
        <v xml:space="preserve"> </v>
      </c>
    </row>
    <row r="63" spans="1:13">
      <c r="A63" s="63">
        <f t="shared" si="4"/>
        <v>48</v>
      </c>
      <c r="B63" s="70" t="s">
        <v>262</v>
      </c>
      <c r="C63" s="35"/>
      <c r="D63" s="88" t="str">
        <f>IF(C63&lt;&gt;0,"x","")</f>
        <v/>
      </c>
      <c r="E63" s="32"/>
      <c r="F63" s="77" t="str">
        <f>CONCATENATE(Calcule!D36," ",IF(AND(D63="x",E63="")," &lt;Selectează doc.justif.&gt;",""))</f>
        <v xml:space="preserve"> </v>
      </c>
    </row>
    <row r="64" spans="1:13" ht="69">
      <c r="A64" s="63">
        <f t="shared" si="4"/>
        <v>49</v>
      </c>
      <c r="B64" s="70" t="s">
        <v>285</v>
      </c>
      <c r="C64" s="83">
        <f>SUM(C65:C67)</f>
        <v>0</v>
      </c>
      <c r="D64" s="88" t="str">
        <f>IF(C64&lt;&gt;0,"x","")</f>
        <v/>
      </c>
      <c r="E64" s="32"/>
      <c r="F64" s="77" t="str">
        <f>IF(AND(D64="x",E64="")," &lt;Selectează doc.justif.&gt;","")</f>
        <v/>
      </c>
    </row>
    <row r="65" spans="1:6" ht="41.4">
      <c r="A65" s="63">
        <f>A64+1</f>
        <v>50</v>
      </c>
      <c r="B65" s="70" t="s">
        <v>287</v>
      </c>
      <c r="C65" s="83">
        <f>IF(AND($C$35="DA",$C$37="Benzină/motorină"),MIN($C$38*$C$36/100*$C$40,$C$39),0)+IF(AND($C$44="DA",$C$46="Benzină/motorină"),MIN($C$47*$C$45/100*$C$49,$C$48),0)</f>
        <v>0</v>
      </c>
      <c r="D65" s="88" t="str">
        <f>IF(C65&lt;&gt;0,"x","-")</f>
        <v>-</v>
      </c>
      <c r="E65" s="32"/>
      <c r="F65" s="77" t="str">
        <f>CONCATENATE(IF(AND(ISNUMBER(C65),C65&lt;&gt;0,AND(C35&lt;&gt;"DA",C44&lt;&gt;"DA")),"Vezi (23) și (26) sau completează cu 0.00",""),IF(AND(D65="x",E65="")," &lt;Selectează doc.justif.&gt;",""))</f>
        <v/>
      </c>
    </row>
    <row r="66" spans="1:6" ht="27.6">
      <c r="A66" s="63">
        <f t="shared" si="4"/>
        <v>51</v>
      </c>
      <c r="B66" s="70" t="s">
        <v>290</v>
      </c>
      <c r="C66" s="83">
        <f>IF(AND($C$35="DA",$C$37="Energie electrică"),MIN($C$38*$C$36/100*$C$40,$C$39),0)+IF(AND($C$44="DA",$C$46="Energie electrică"),MIN($C$47*$C$45/100*$C$49,$C$48),0)</f>
        <v>0</v>
      </c>
      <c r="D66" s="88" t="str">
        <f>IF(C66&lt;&gt;0,"x","-")</f>
        <v>-</v>
      </c>
      <c r="E66" s="32"/>
      <c r="F66" s="77" t="str">
        <f>CONCATENATE(IF(AND(ISNUMBER(C65),C65&lt;&gt;0,AND(C35&lt;&gt;"DA",C44&lt;&gt;"DA")),"Vezi (23) și (26) sau completează cu 0.00","")," ",IF(AND(D66="x",E66="")," &lt;Selectează doc.justif.&gt;",""))</f>
        <v xml:space="preserve"> </v>
      </c>
    </row>
    <row r="67" spans="1:6" ht="27.6">
      <c r="A67" s="63">
        <f t="shared" si="4"/>
        <v>52</v>
      </c>
      <c r="B67" s="70" t="s">
        <v>286</v>
      </c>
      <c r="C67" s="99">
        <f>IF(ISNUMBER(C42),C42,0)+IF(ISNUMBER(C51),C51,0)</f>
        <v>0</v>
      </c>
      <c r="D67" s="88" t="str">
        <f>IF(C67&lt;&gt;0,"x","")</f>
        <v/>
      </c>
      <c r="E67" s="98" t="str">
        <f>CONCATENATE(E42," ",E51)</f>
        <v xml:space="preserve"> </v>
      </c>
      <c r="F67" s="77" t="str">
        <f>CONCATENATE(IF(AND(ISNUMBER(C67),C67&lt;&gt;0,AND(C41&lt;&gt;"DA",C50&lt;&gt;"DA")),"Modifică (29) și (36) sau completează cu 0.00","")," ",IF(AND(D67="x",E67="")," &lt;Selectează doc.justif.&gt;",""))</f>
        <v xml:space="preserve"> </v>
      </c>
    </row>
    <row r="68" spans="1:6">
      <c r="A68" s="63">
        <f t="shared" si="4"/>
        <v>53</v>
      </c>
      <c r="B68" s="111" t="s">
        <v>339</v>
      </c>
      <c r="C68" s="82">
        <f>SUM(C61:C64)</f>
        <v>0</v>
      </c>
      <c r="D68" s="67" t="s">
        <v>266</v>
      </c>
      <c r="E68" s="67" t="s">
        <v>266</v>
      </c>
      <c r="F68" s="93"/>
    </row>
    <row r="69" spans="1:6" ht="21" customHeight="1">
      <c r="A69" s="63">
        <f>A68+1</f>
        <v>54</v>
      </c>
      <c r="B69" s="108" t="s">
        <v>323</v>
      </c>
      <c r="C69" s="84">
        <f>ROUND(C59+C68,2)</f>
        <v>0</v>
      </c>
      <c r="D69" s="67" t="s">
        <v>266</v>
      </c>
      <c r="E69" s="67" t="s">
        <v>266</v>
      </c>
      <c r="F69" s="93"/>
    </row>
    <row r="70" spans="1:6">
      <c r="B70" s="109"/>
      <c r="C70" s="85"/>
      <c r="D70" s="85"/>
      <c r="E70" s="86"/>
    </row>
    <row r="71" spans="1:6" ht="27.6">
      <c r="B71" s="87" t="s">
        <v>326</v>
      </c>
    </row>
    <row r="72" spans="1:6">
      <c r="B72" s="110"/>
    </row>
    <row r="73" spans="1:6">
      <c r="B73" s="110"/>
    </row>
    <row r="74" spans="1:6">
      <c r="B74" s="110"/>
    </row>
    <row r="75" spans="1:6">
      <c r="B75" s="110"/>
    </row>
    <row r="76" spans="1:6">
      <c r="B76" s="110"/>
    </row>
    <row r="77" spans="1:6">
      <c r="B77" s="110"/>
    </row>
    <row r="78" spans="1:6">
      <c r="B78" s="110"/>
    </row>
    <row r="79" spans="1:6">
      <c r="B79" s="110"/>
    </row>
    <row r="80" spans="1:6">
      <c r="B80" s="110"/>
    </row>
    <row r="81" spans="2:5">
      <c r="B81" s="110"/>
    </row>
    <row r="82" spans="2:5">
      <c r="B82" s="110"/>
    </row>
    <row r="83" spans="2:5">
      <c r="B83" s="110"/>
    </row>
    <row r="84" spans="2:5">
      <c r="B84" s="110"/>
    </row>
    <row r="85" spans="2:5">
      <c r="B85" s="110"/>
    </row>
    <row r="86" spans="2:5">
      <c r="B86" s="110"/>
    </row>
    <row r="88" spans="2:5" ht="18" customHeight="1">
      <c r="B88" s="146" t="s">
        <v>358</v>
      </c>
      <c r="C88" s="95"/>
      <c r="D88" s="95"/>
      <c r="E88" s="136" t="s">
        <v>357</v>
      </c>
    </row>
    <row r="89" spans="2:5" ht="18" customHeight="1">
      <c r="B89" s="48" t="str">
        <f>CONCATENATE('Date generale'!B8,",")</f>
        <v>Reprezentant legal/împuternicit,</v>
      </c>
      <c r="C89" s="8"/>
      <c r="D89" s="8"/>
      <c r="E89" s="136" t="str">
        <f>CONCATENATE("",C6)</f>
        <v/>
      </c>
    </row>
    <row r="90" spans="2:5">
      <c r="B90" s="48" t="str">
        <f>CONCATENATE("",'Date generale'!C8)</f>
        <v/>
      </c>
      <c r="C90" s="8"/>
      <c r="D90" s="8"/>
      <c r="E90" s="8"/>
    </row>
  </sheetData>
  <sheetProtection algorithmName="SHA-512" hashValue="RsxEf+qCxKNb4dkurBfsAeotjTVCGpxTxpJXxCJP42nZvXgdAzd+RWgcqSj0lWZ9tl+0xYWpGB32sd9KdqhCTg==" saltValue="CJeG1ErvcXj7vi7a3kkckg==" spinCount="100000" sheet="1" selectLockedCells="1"/>
  <mergeCells count="13">
    <mergeCell ref="A60:B60"/>
    <mergeCell ref="D60:E60"/>
    <mergeCell ref="A4:E4"/>
    <mergeCell ref="A12:E12"/>
    <mergeCell ref="A15:E15"/>
    <mergeCell ref="A19:C19"/>
    <mergeCell ref="A21:C21"/>
    <mergeCell ref="A24:E24"/>
    <mergeCell ref="A29:E29"/>
    <mergeCell ref="A34:E34"/>
    <mergeCell ref="A43:E43"/>
    <mergeCell ref="A52:B52"/>
    <mergeCell ref="D52:E52"/>
  </mergeCells>
  <conditionalFormatting sqref="C13">
    <cfRule type="cellIs" dxfId="17" priority="8" operator="lessThan">
      <formula>$C$13</formula>
    </cfRule>
  </conditionalFormatting>
  <conditionalFormatting sqref="C14">
    <cfRule type="cellIs" dxfId="16" priority="19" operator="lessThan">
      <formula>$C$17</formula>
    </cfRule>
  </conditionalFormatting>
  <conditionalFormatting sqref="C16">
    <cfRule type="cellIs" dxfId="15" priority="1" operator="lessThan">
      <formula>$C$13</formula>
    </cfRule>
  </conditionalFormatting>
  <conditionalFormatting sqref="C17">
    <cfRule type="cellIs" dxfId="14" priority="6" operator="lessThan">
      <formula>$C$17</formula>
    </cfRule>
  </conditionalFormatting>
  <conditionalFormatting sqref="F19:F51">
    <cfRule type="containsText" dxfId="13" priority="9" operator="containsText" text="Nu este cazul">
      <formula>NOT(ISERROR(SEARCH("Nu este cazul",F19)))</formula>
    </cfRule>
  </conditionalFormatting>
  <conditionalFormatting sqref="G20">
    <cfRule type="containsText" dxfId="9" priority="16" operator="containsText" text="Nu este cazul">
      <formula>NOT(ISERROR(SEARCH("Nu este cazul",G20)))</formula>
    </cfRule>
  </conditionalFormatting>
  <conditionalFormatting sqref="G41 G43:G46 G50 G35:G37">
    <cfRule type="expression" dxfId="6" priority="10">
      <formula>"1=1"</formula>
    </cfRule>
  </conditionalFormatting>
  <dataValidations count="2">
    <dataValidation type="list" allowBlank="1" showInputMessage="1" showErrorMessage="1" sqref="E16:E18 E42 E45 E53:E57 E51 E36 E13:E14 E38:E40 E47:E49 E61:E66" xr:uid="{074ABC21-0799-478C-9356-969D888F8E51}">
      <formula1>$B$72:$B$86</formula1>
    </dataValidation>
    <dataValidation type="decimal" operator="greaterThanOrEqual" allowBlank="1" showInputMessage="1" showErrorMessage="1" sqref="C53:C57 C61:C66" xr:uid="{9680FA69-EE50-4AC0-9EDF-7998A1DB45E7}">
      <formula1>0</formula1>
    </dataValidation>
  </dataValidations>
  <pageMargins left="0.7" right="0.7" top="0.75" bottom="0.75" header="0.3" footer="0.3"/>
  <pageSetup paperSize="9" orientation="portrait" horizontalDpi="1200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7540E70-9E68-4FD3-830B-8A2ADF67926F}">
            <xm:f>NOT(ISERROR(SEARCH($B$81,G19)))</xm:f>
            <xm:f>$B$81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5" operator="containsText" id="{A55A9777-3DDE-4288-B1B6-0F7AF2F8FEA2}">
            <xm:f>NOT(ISERROR(SEARCH(Liste!$C$214,G19)))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7" operator="containsText" id="{FFCD1132-BED3-4420-A211-1CC55F7F70B8}">
            <xm:f>NOT(ISERROR(SEARCH($B$82,G19)))</xm:f>
            <xm:f>$B$82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1" operator="containsText" id="{CDCCE336-AE73-4AA3-8E60-FD98CFC8975F}">
            <xm:f>NOT(ISERROR(SEARCH(Liste!$C$214,G22)))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G22:G35</xm:sqref>
        </x14:conditionalFormatting>
        <x14:conditionalFormatting xmlns:xm="http://schemas.microsoft.com/office/excel/2006/main">
          <x14:cfRule type="containsText" priority="12" operator="containsText" id="{4303FFB0-7549-4DC3-BA1B-15097B913B57}">
            <xm:f>NOT(ISERROR(SEARCH(Liste!$C$217,G36)))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G36:G37 G41 G43</xm:sqref>
        </x14:conditionalFormatting>
        <x14:conditionalFormatting xmlns:xm="http://schemas.microsoft.com/office/excel/2006/main">
          <x14:cfRule type="containsText" priority="5" operator="containsText" id="{42606318-15BE-4137-AECE-EBA9DE2D157D}">
            <xm:f>NOT(ISERROR(SEARCH(Liste!$C$214,G41)))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4" operator="containsText" id="{C4667420-6FF8-46EC-925A-DDFACD0ABCE3}">
            <xm:f>NOT(ISERROR(SEARCH(Liste!$C$214,G44)))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8" operator="containsText" id="{DBF830D5-E00B-4290-BA5D-BFEB50C4C4A1}">
            <xm:f>NOT(ISERROR(SEARCH(Liste!$C$214,G44)))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13" operator="containsText" id="{B2880730-EFA9-450B-9BD4-90E08389CD99}">
            <xm:f>NOT(ISERROR(SEARCH(Liste!$C$217,G45)))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ontainsText" priority="2" operator="containsText" id="{017F36C7-8262-4FE4-BF1F-56BF4DD1AE12}">
            <xm:f>NOT(ISERROR(SEARCH(Liste!$C$217,G45)))</xm:f>
            <xm:f>Liste!$C$217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G45:G46</xm:sqref>
        </x14:conditionalFormatting>
        <x14:conditionalFormatting xmlns:xm="http://schemas.microsoft.com/office/excel/2006/main">
          <x14:cfRule type="containsText" priority="3" operator="containsText" id="{F7DDE70E-20B3-4C24-BF2E-07788119CFD1}">
            <xm:f>NOT(ISERROR(SEARCH(Liste!$C$214,G50)))</xm:f>
            <xm:f>Liste!$C$214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1E7ECA8-865B-4B44-A7D7-239B918D1AB1}">
          <x14:formula1>
            <xm:f>Liste!$N$2:$N$4</xm:f>
          </x14:formula1>
          <xm:sqref>C37 C46</xm:sqref>
        </x14:dataValidation>
        <x14:dataValidation type="list" allowBlank="1" showInputMessage="1" showErrorMessage="1" xr:uid="{8B0777E5-59F2-454D-B527-3DE95707BE06}">
          <x14:formula1>
            <xm:f>Liste!$C$6:$C$9</xm:f>
          </x14:formula1>
          <xm:sqref>H20 C20</xm:sqref>
        </x14:dataValidation>
        <x14:dataValidation type="list" allowBlank="1" showInputMessage="1" showErrorMessage="1" xr:uid="{1634FEA2-3BB8-4B38-8D34-53460B400A0E}">
          <x14:formula1>
            <xm:f>Liste!$L$3:$L$8</xm:f>
          </x14:formula1>
          <xm:sqref>H50:H51 H29 H34 H22:H24 H41:H42 C22:C23</xm:sqref>
        </x14:dataValidation>
        <x14:dataValidation type="list" allowBlank="1" showInputMessage="1" showErrorMessage="1" xr:uid="{E8016073-3391-4381-997E-1B0BAEBE265B}">
          <x14:formula1>
            <xm:f>Liste!$C$215:$C$217</xm:f>
          </x14:formula1>
          <xm:sqref>H44 C35 C50 C44 H35 C41</xm:sqref>
        </x14:dataValidation>
        <x14:dataValidation type="list" allowBlank="1" showInputMessage="1" showErrorMessage="1" xr:uid="{964FBF3D-7189-4B70-998E-A2E73F0D4A87}">
          <x14:formula1>
            <xm:f>Liste!$C$2:$C$3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F422-15F7-4F51-BF50-FFA66902CA69}">
  <dimension ref="B1:N217"/>
  <sheetViews>
    <sheetView topLeftCell="B1" zoomScale="145" zoomScaleNormal="145" workbookViewId="0">
      <selection activeCell="L47" sqref="L47:L52"/>
    </sheetView>
  </sheetViews>
  <sheetFormatPr defaultRowHeight="14.4"/>
  <cols>
    <col min="2" max="2" width="4" style="9" customWidth="1"/>
    <col min="3" max="3" width="23.44140625" customWidth="1"/>
    <col min="12" max="12" width="13.109375" customWidth="1"/>
  </cols>
  <sheetData>
    <row r="1" spans="2:14">
      <c r="C1" s="20" t="s">
        <v>242</v>
      </c>
      <c r="F1" s="41" t="s">
        <v>14</v>
      </c>
      <c r="G1" s="42"/>
      <c r="H1" s="42"/>
      <c r="I1" s="42"/>
      <c r="J1" s="42"/>
      <c r="N1" s="42" t="s">
        <v>304</v>
      </c>
    </row>
    <row r="2" spans="2:14">
      <c r="C2" s="22" t="s">
        <v>229</v>
      </c>
      <c r="F2" s="40" t="s">
        <v>27</v>
      </c>
      <c r="G2" s="22"/>
      <c r="H2" s="22"/>
      <c r="I2" s="22"/>
      <c r="J2" s="22"/>
      <c r="L2" s="7" t="s">
        <v>308</v>
      </c>
      <c r="N2" s="22" t="s">
        <v>20</v>
      </c>
    </row>
    <row r="3" spans="2:14">
      <c r="C3" s="22" t="s">
        <v>230</v>
      </c>
      <c r="F3" s="40" t="s">
        <v>28</v>
      </c>
      <c r="G3" s="22"/>
      <c r="H3" s="22"/>
      <c r="I3" s="22"/>
      <c r="J3" s="22"/>
      <c r="L3" s="40" t="s">
        <v>20</v>
      </c>
      <c r="N3" s="22" t="s">
        <v>305</v>
      </c>
    </row>
    <row r="4" spans="2:14">
      <c r="F4" s="40" t="s">
        <v>29</v>
      </c>
      <c r="G4" s="22"/>
      <c r="H4" s="22"/>
      <c r="I4" s="22"/>
      <c r="J4" s="22"/>
      <c r="L4" s="40" t="s">
        <v>3</v>
      </c>
      <c r="N4" s="22" t="s">
        <v>306</v>
      </c>
    </row>
    <row r="5" spans="2:14">
      <c r="C5" s="47" t="s">
        <v>307</v>
      </c>
      <c r="F5" s="40" t="s">
        <v>30</v>
      </c>
      <c r="G5" s="22"/>
      <c r="H5" s="22"/>
      <c r="I5" s="22"/>
      <c r="J5" s="22"/>
      <c r="L5" s="40" t="s">
        <v>5</v>
      </c>
    </row>
    <row r="6" spans="2:14">
      <c r="C6" s="5" t="s">
        <v>7</v>
      </c>
      <c r="F6" s="40" t="s">
        <v>31</v>
      </c>
      <c r="G6" s="22"/>
      <c r="H6" s="22"/>
      <c r="I6" s="22"/>
      <c r="J6" s="22"/>
      <c r="L6" s="40" t="s">
        <v>6</v>
      </c>
    </row>
    <row r="7" spans="2:14">
      <c r="C7" s="5" t="s">
        <v>8</v>
      </c>
      <c r="F7" s="40" t="s">
        <v>32</v>
      </c>
      <c r="G7" s="22"/>
      <c r="H7" s="22"/>
      <c r="I7" s="22"/>
      <c r="J7" s="22"/>
      <c r="L7" s="40" t="s">
        <v>4</v>
      </c>
    </row>
    <row r="8" spans="2:14">
      <c r="C8" s="5" t="s">
        <v>272</v>
      </c>
      <c r="F8" s="40" t="s">
        <v>33</v>
      </c>
      <c r="G8" s="22"/>
      <c r="H8" s="22"/>
      <c r="I8" s="22"/>
      <c r="J8" s="22"/>
      <c r="L8" s="40" t="s">
        <v>2</v>
      </c>
    </row>
    <row r="9" spans="2:14">
      <c r="C9" s="5" t="s">
        <v>13</v>
      </c>
    </row>
    <row r="11" spans="2:14" ht="27" thickBot="1">
      <c r="B11" s="19" t="s">
        <v>241</v>
      </c>
      <c r="C11" s="20"/>
      <c r="L11" s="165" t="s">
        <v>234</v>
      </c>
      <c r="M11" s="23" t="s">
        <v>66</v>
      </c>
      <c r="N11" s="23" t="s">
        <v>235</v>
      </c>
    </row>
    <row r="12" spans="2:14" ht="15" customHeight="1" thickBot="1">
      <c r="B12" s="162" t="s">
        <v>54</v>
      </c>
      <c r="C12" s="162" t="s">
        <v>55</v>
      </c>
      <c r="D12" s="162" t="s">
        <v>56</v>
      </c>
      <c r="E12" s="11" t="s">
        <v>57</v>
      </c>
      <c r="F12" s="12"/>
      <c r="G12" s="12"/>
      <c r="H12" s="13"/>
      <c r="L12" s="166"/>
      <c r="M12" s="17" t="s">
        <v>236</v>
      </c>
      <c r="N12" s="17" t="s">
        <v>236</v>
      </c>
    </row>
    <row r="13" spans="2:14" ht="15" customHeight="1" thickBot="1">
      <c r="B13" s="163"/>
      <c r="C13" s="163"/>
      <c r="D13" s="163"/>
      <c r="E13" s="11" t="s">
        <v>58</v>
      </c>
      <c r="F13" s="13"/>
      <c r="G13" s="11" t="s">
        <v>59</v>
      </c>
      <c r="H13" s="13"/>
      <c r="L13" s="167"/>
      <c r="M13" s="18" t="s">
        <v>237</v>
      </c>
      <c r="N13" s="18" t="s">
        <v>238</v>
      </c>
    </row>
    <row r="14" spans="2:14" ht="42" thickBot="1">
      <c r="B14" s="164"/>
      <c r="C14" s="164"/>
      <c r="D14" s="164"/>
      <c r="E14" s="10" t="s">
        <v>60</v>
      </c>
      <c r="F14" s="10" t="s">
        <v>61</v>
      </c>
      <c r="G14" s="10" t="s">
        <v>60</v>
      </c>
      <c r="H14" s="10" t="s">
        <v>61</v>
      </c>
      <c r="L14" s="24">
        <v>45320</v>
      </c>
      <c r="M14" s="25">
        <v>4.9770000000000003</v>
      </c>
      <c r="N14" s="25">
        <v>4.6006999999999998</v>
      </c>
    </row>
    <row r="15" spans="2:14">
      <c r="B15"/>
      <c r="L15" s="24">
        <v>45321</v>
      </c>
      <c r="M15" s="25">
        <v>4.9768999999999997</v>
      </c>
      <c r="N15" s="25">
        <v>4.5925000000000002</v>
      </c>
    </row>
    <row r="16" spans="2:14" ht="15" thickBot="1">
      <c r="B16" s="16">
        <v>0</v>
      </c>
      <c r="C16" s="26" t="s">
        <v>231</v>
      </c>
      <c r="D16" s="26">
        <v>2</v>
      </c>
      <c r="E16" s="26">
        <v>3</v>
      </c>
      <c r="F16" s="26">
        <v>4</v>
      </c>
      <c r="G16" s="26">
        <v>5</v>
      </c>
      <c r="H16" s="26">
        <v>6</v>
      </c>
      <c r="L16" s="24">
        <v>45322</v>
      </c>
      <c r="M16" s="25">
        <v>4.9759000000000002</v>
      </c>
      <c r="N16" s="25">
        <v>4.5961999999999996</v>
      </c>
    </row>
    <row r="17" spans="2:14" ht="15" thickBot="1">
      <c r="B17" s="16">
        <v>1</v>
      </c>
      <c r="C17" s="26" t="s">
        <v>62</v>
      </c>
      <c r="D17" s="26" t="s">
        <v>63</v>
      </c>
      <c r="E17" s="26">
        <v>120</v>
      </c>
      <c r="F17" s="26">
        <v>180</v>
      </c>
      <c r="G17" s="26">
        <v>150</v>
      </c>
      <c r="H17" s="26">
        <v>360</v>
      </c>
      <c r="L17" s="24">
        <v>45323</v>
      </c>
      <c r="M17" s="25">
        <v>4.9747000000000003</v>
      </c>
      <c r="N17" s="25">
        <v>4.6087999999999996</v>
      </c>
    </row>
    <row r="18" spans="2:14" ht="15" thickBot="1">
      <c r="B18" s="16">
        <v>2</v>
      </c>
      <c r="C18" s="26" t="s">
        <v>64</v>
      </c>
      <c r="D18" s="26" t="s">
        <v>63</v>
      </c>
      <c r="E18" s="26">
        <v>38</v>
      </c>
      <c r="F18" s="26">
        <v>110</v>
      </c>
      <c r="G18" s="26">
        <v>60</v>
      </c>
      <c r="H18" s="26">
        <v>220</v>
      </c>
      <c r="L18" s="24">
        <v>45324</v>
      </c>
      <c r="M18" s="25">
        <v>4.9728000000000003</v>
      </c>
      <c r="N18" s="25">
        <v>4.5697000000000001</v>
      </c>
    </row>
    <row r="19" spans="2:14" ht="15" thickBot="1">
      <c r="B19" s="16">
        <v>3</v>
      </c>
      <c r="C19" s="26" t="s">
        <v>65</v>
      </c>
      <c r="D19" s="26" t="s">
        <v>66</v>
      </c>
      <c r="E19" s="26">
        <v>32</v>
      </c>
      <c r="F19" s="26">
        <v>100</v>
      </c>
      <c r="G19" s="26">
        <v>51</v>
      </c>
      <c r="H19" s="26">
        <v>200</v>
      </c>
      <c r="L19" s="24">
        <v>45327</v>
      </c>
      <c r="M19" s="25">
        <v>4.9736000000000002</v>
      </c>
      <c r="N19" s="25">
        <v>4.6269999999999998</v>
      </c>
    </row>
    <row r="20" spans="2:14" ht="15" thickBot="1">
      <c r="B20" s="16">
        <v>4</v>
      </c>
      <c r="C20" s="26" t="s">
        <v>67</v>
      </c>
      <c r="D20" s="26" t="s">
        <v>63</v>
      </c>
      <c r="E20" s="26">
        <v>32</v>
      </c>
      <c r="F20" s="26">
        <v>150</v>
      </c>
      <c r="G20" s="26">
        <v>51</v>
      </c>
      <c r="H20" s="26">
        <v>300</v>
      </c>
      <c r="L20" s="24">
        <v>45328</v>
      </c>
      <c r="M20" s="25">
        <v>4.976</v>
      </c>
      <c r="N20" s="25">
        <v>4.6369999999999996</v>
      </c>
    </row>
    <row r="21" spans="2:14" ht="42" thickBot="1">
      <c r="B21" s="16">
        <v>5</v>
      </c>
      <c r="C21" s="26" t="s">
        <v>68</v>
      </c>
      <c r="D21" s="26" t="s">
        <v>66</v>
      </c>
      <c r="E21" s="26">
        <v>35</v>
      </c>
      <c r="F21" s="26">
        <v>150</v>
      </c>
      <c r="G21" s="26">
        <v>56</v>
      </c>
      <c r="H21" s="26">
        <v>300</v>
      </c>
      <c r="L21" s="15">
        <v>45329</v>
      </c>
      <c r="M21" s="14">
        <v>4.9768999999999997</v>
      </c>
      <c r="N21" s="14">
        <v>4.6227999999999998</v>
      </c>
    </row>
    <row r="22" spans="2:14" ht="15" thickBot="1">
      <c r="B22" s="16">
        <v>6</v>
      </c>
      <c r="C22" s="26" t="s">
        <v>69</v>
      </c>
      <c r="D22" s="26" t="s">
        <v>63</v>
      </c>
      <c r="E22" s="26">
        <v>32</v>
      </c>
      <c r="F22" s="26">
        <v>140</v>
      </c>
      <c r="G22" s="26">
        <v>51</v>
      </c>
      <c r="H22" s="26">
        <v>280</v>
      </c>
      <c r="L22" s="15">
        <v>45330</v>
      </c>
      <c r="M22" s="14">
        <v>4.9763999999999999</v>
      </c>
      <c r="N22" s="14">
        <v>4.6195000000000004</v>
      </c>
    </row>
    <row r="23" spans="2:14" ht="15" thickBot="1">
      <c r="B23" s="16">
        <v>7</v>
      </c>
      <c r="C23" s="26" t="s">
        <v>70</v>
      </c>
      <c r="D23" s="26" t="s">
        <v>63</v>
      </c>
      <c r="E23" s="26">
        <v>32</v>
      </c>
      <c r="F23" s="26">
        <v>100</v>
      </c>
      <c r="G23" s="26">
        <v>51</v>
      </c>
      <c r="H23" s="26">
        <v>200</v>
      </c>
      <c r="L23" s="15">
        <v>45331</v>
      </c>
      <c r="M23" s="14">
        <v>4.9770000000000003</v>
      </c>
      <c r="N23" s="14">
        <v>4.6214000000000004</v>
      </c>
    </row>
    <row r="24" spans="2:14" ht="15" thickBot="1">
      <c r="B24" s="16">
        <v>8</v>
      </c>
      <c r="C24" s="26" t="s">
        <v>71</v>
      </c>
      <c r="D24" s="26" t="s">
        <v>63</v>
      </c>
      <c r="E24" s="26">
        <v>32</v>
      </c>
      <c r="F24" s="26">
        <v>100</v>
      </c>
      <c r="G24" s="26">
        <v>51</v>
      </c>
      <c r="H24" s="26">
        <v>200</v>
      </c>
      <c r="L24" s="15">
        <v>45334</v>
      </c>
      <c r="M24" s="14">
        <v>4.9752999999999998</v>
      </c>
      <c r="N24" s="14">
        <v>4.617</v>
      </c>
    </row>
    <row r="25" spans="2:14" ht="15" thickBot="1">
      <c r="B25" s="16">
        <v>9</v>
      </c>
      <c r="C25" s="26" t="s">
        <v>72</v>
      </c>
      <c r="D25" s="26" t="s">
        <v>63</v>
      </c>
      <c r="E25" s="26">
        <v>38</v>
      </c>
      <c r="F25" s="26">
        <v>110</v>
      </c>
      <c r="G25" s="26">
        <v>60</v>
      </c>
      <c r="H25" s="26">
        <v>220</v>
      </c>
      <c r="L25" s="15">
        <v>45335</v>
      </c>
      <c r="M25" s="14">
        <v>4.9760999999999997</v>
      </c>
      <c r="N25" s="14">
        <v>4.6185999999999998</v>
      </c>
    </row>
    <row r="26" spans="2:14" ht="15" thickBot="1">
      <c r="B26" s="16">
        <v>10</v>
      </c>
      <c r="C26" s="26" t="s">
        <v>73</v>
      </c>
      <c r="D26" s="26" t="s">
        <v>63</v>
      </c>
      <c r="E26" s="26">
        <v>32</v>
      </c>
      <c r="F26" s="26">
        <v>110</v>
      </c>
      <c r="G26" s="26">
        <v>51</v>
      </c>
      <c r="H26" s="26">
        <v>220</v>
      </c>
      <c r="L26" s="15">
        <v>45336</v>
      </c>
      <c r="M26" s="14">
        <v>4.976</v>
      </c>
      <c r="N26" s="14">
        <v>4.6505000000000001</v>
      </c>
    </row>
    <row r="27" spans="2:14" ht="15" thickBot="1">
      <c r="B27" s="16">
        <v>11</v>
      </c>
      <c r="C27" s="26" t="s">
        <v>74</v>
      </c>
      <c r="D27" s="26" t="s">
        <v>63</v>
      </c>
      <c r="E27" s="26">
        <v>38</v>
      </c>
      <c r="F27" s="26">
        <v>140</v>
      </c>
      <c r="G27" s="26">
        <v>60</v>
      </c>
      <c r="H27" s="26">
        <v>280</v>
      </c>
      <c r="L27" s="15">
        <v>45337</v>
      </c>
      <c r="M27" s="14">
        <v>4.9767000000000001</v>
      </c>
      <c r="N27" s="14">
        <v>4.6364000000000001</v>
      </c>
    </row>
    <row r="28" spans="2:14" ht="15" thickBot="1">
      <c r="B28" s="16">
        <v>12</v>
      </c>
      <c r="C28" s="26" t="s">
        <v>75</v>
      </c>
      <c r="D28" s="26" t="s">
        <v>63</v>
      </c>
      <c r="E28" s="26">
        <v>38</v>
      </c>
      <c r="F28" s="26">
        <v>160</v>
      </c>
      <c r="G28" s="26">
        <v>60</v>
      </c>
      <c r="H28" s="26">
        <v>320</v>
      </c>
      <c r="L28" s="15">
        <v>45338</v>
      </c>
      <c r="M28" s="14">
        <v>4.9770000000000003</v>
      </c>
      <c r="N28" s="14">
        <v>4.6207000000000003</v>
      </c>
    </row>
    <row r="29" spans="2:14" ht="15" thickBot="1">
      <c r="B29" s="16">
        <v>13</v>
      </c>
      <c r="C29" s="26" t="s">
        <v>76</v>
      </c>
      <c r="D29" s="26" t="s">
        <v>66</v>
      </c>
      <c r="E29" s="26">
        <v>35</v>
      </c>
      <c r="F29" s="26">
        <v>150</v>
      </c>
      <c r="G29" s="26">
        <v>56</v>
      </c>
      <c r="H29" s="26">
        <v>300</v>
      </c>
      <c r="L29" s="15">
        <v>45341</v>
      </c>
      <c r="M29" s="14">
        <v>4.9772999999999996</v>
      </c>
      <c r="N29" s="14">
        <v>4.6189</v>
      </c>
    </row>
    <row r="30" spans="2:14" ht="15" thickBot="1">
      <c r="B30" s="16">
        <v>14</v>
      </c>
      <c r="C30" s="26" t="s">
        <v>77</v>
      </c>
      <c r="D30" s="26" t="s">
        <v>63</v>
      </c>
      <c r="E30" s="26">
        <v>38</v>
      </c>
      <c r="F30" s="26">
        <v>120</v>
      </c>
      <c r="G30" s="26">
        <v>60</v>
      </c>
      <c r="H30" s="26">
        <v>240</v>
      </c>
      <c r="L30" s="15">
        <v>45342</v>
      </c>
      <c r="M30" s="14">
        <v>4.9771000000000001</v>
      </c>
      <c r="N30" s="14">
        <v>4.6069000000000004</v>
      </c>
    </row>
    <row r="31" spans="2:14" ht="15" thickBot="1">
      <c r="B31" s="16">
        <v>15</v>
      </c>
      <c r="C31" s="26" t="s">
        <v>78</v>
      </c>
      <c r="D31" s="26" t="s">
        <v>63</v>
      </c>
      <c r="E31" s="26">
        <v>32</v>
      </c>
      <c r="F31" s="26">
        <v>100</v>
      </c>
      <c r="G31" s="26">
        <v>51</v>
      </c>
      <c r="H31" s="26">
        <v>200</v>
      </c>
      <c r="L31" s="15">
        <v>45343</v>
      </c>
      <c r="M31" s="14">
        <v>4.9759000000000002</v>
      </c>
      <c r="N31" s="14">
        <v>4.6073000000000004</v>
      </c>
    </row>
    <row r="32" spans="2:14" ht="15" thickBot="1">
      <c r="B32" s="16">
        <v>16</v>
      </c>
      <c r="C32" s="26" t="s">
        <v>79</v>
      </c>
      <c r="D32" s="26" t="s">
        <v>63</v>
      </c>
      <c r="E32" s="26">
        <v>32</v>
      </c>
      <c r="F32" s="26">
        <v>100</v>
      </c>
      <c r="G32" s="26">
        <v>51</v>
      </c>
      <c r="H32" s="26">
        <v>200</v>
      </c>
      <c r="L32" s="15">
        <v>45344</v>
      </c>
      <c r="M32" s="14">
        <v>4.9768999999999997</v>
      </c>
      <c r="N32" s="14">
        <v>4.5842999999999998</v>
      </c>
    </row>
    <row r="33" spans="2:14" ht="15" thickBot="1">
      <c r="B33" s="16">
        <v>17</v>
      </c>
      <c r="C33" s="26" t="s">
        <v>80</v>
      </c>
      <c r="D33" s="26" t="s">
        <v>63</v>
      </c>
      <c r="E33" s="26">
        <v>32</v>
      </c>
      <c r="F33" s="26">
        <v>100</v>
      </c>
      <c r="G33" s="26">
        <v>51</v>
      </c>
      <c r="H33" s="26">
        <v>200</v>
      </c>
      <c r="L33" s="15">
        <v>45345</v>
      </c>
      <c r="M33" s="14">
        <v>4.9752999999999998</v>
      </c>
      <c r="N33" s="14">
        <v>4.5970000000000004</v>
      </c>
    </row>
    <row r="34" spans="2:14" ht="15" thickBot="1">
      <c r="B34" s="16">
        <v>18</v>
      </c>
      <c r="C34" s="26" t="s">
        <v>81</v>
      </c>
      <c r="D34" s="26" t="s">
        <v>63</v>
      </c>
      <c r="E34" s="26">
        <v>38</v>
      </c>
      <c r="F34" s="26">
        <v>110</v>
      </c>
      <c r="G34" s="26">
        <v>60</v>
      </c>
      <c r="H34" s="26">
        <v>220</v>
      </c>
      <c r="L34" s="15">
        <v>45348</v>
      </c>
      <c r="M34" s="14">
        <v>4.9730999999999996</v>
      </c>
      <c r="N34" s="14">
        <v>4.5842999999999998</v>
      </c>
    </row>
    <row r="35" spans="2:14" ht="15" thickBot="1">
      <c r="B35" s="16">
        <v>19</v>
      </c>
      <c r="C35" s="26" t="s">
        <v>82</v>
      </c>
      <c r="D35" s="26" t="s">
        <v>66</v>
      </c>
      <c r="E35" s="26">
        <v>35</v>
      </c>
      <c r="F35" s="26">
        <v>150</v>
      </c>
      <c r="G35" s="26">
        <v>56</v>
      </c>
      <c r="H35" s="26">
        <v>300</v>
      </c>
      <c r="L35" s="15">
        <v>45349</v>
      </c>
      <c r="M35" s="14">
        <v>4.9686000000000003</v>
      </c>
      <c r="N35" s="14">
        <v>4.5785</v>
      </c>
    </row>
    <row r="36" spans="2:14" ht="15" thickBot="1">
      <c r="B36" s="16">
        <v>20</v>
      </c>
      <c r="C36" s="26" t="s">
        <v>83</v>
      </c>
      <c r="D36" s="26" t="s">
        <v>63</v>
      </c>
      <c r="E36" s="26">
        <v>32</v>
      </c>
      <c r="F36" s="26">
        <v>100</v>
      </c>
      <c r="G36" s="26">
        <v>51</v>
      </c>
      <c r="H36" s="26">
        <v>200</v>
      </c>
      <c r="L36" s="15">
        <v>45350</v>
      </c>
      <c r="M36" s="14">
        <v>4.97</v>
      </c>
      <c r="N36" s="14">
        <v>4.5955000000000004</v>
      </c>
    </row>
    <row r="37" spans="2:14" ht="15" thickBot="1">
      <c r="B37" s="16">
        <v>21</v>
      </c>
      <c r="C37" s="26" t="s">
        <v>84</v>
      </c>
      <c r="D37" s="26" t="s">
        <v>63</v>
      </c>
      <c r="E37" s="26">
        <v>32</v>
      </c>
      <c r="F37" s="26">
        <v>100</v>
      </c>
      <c r="G37" s="26">
        <v>51</v>
      </c>
      <c r="H37" s="26">
        <v>200</v>
      </c>
      <c r="L37" s="15">
        <v>45351</v>
      </c>
      <c r="M37" s="14">
        <v>4.9690000000000003</v>
      </c>
      <c r="N37" s="14">
        <v>4.5823</v>
      </c>
    </row>
    <row r="38" spans="2:14" ht="15" thickBot="1">
      <c r="B38" s="16">
        <v>22</v>
      </c>
      <c r="C38" s="26" t="s">
        <v>85</v>
      </c>
      <c r="D38" s="26" t="s">
        <v>63</v>
      </c>
      <c r="E38" s="26">
        <v>32</v>
      </c>
      <c r="F38" s="26">
        <v>120</v>
      </c>
      <c r="G38" s="26">
        <v>51</v>
      </c>
      <c r="H38" s="26">
        <v>240</v>
      </c>
      <c r="L38" s="15">
        <v>45352</v>
      </c>
      <c r="M38" s="14">
        <v>4.9699</v>
      </c>
      <c r="N38" s="14">
        <v>4.5983999999999998</v>
      </c>
    </row>
    <row r="39" spans="2:14" ht="15" thickBot="1">
      <c r="B39" s="16">
        <v>23</v>
      </c>
      <c r="C39" s="26" t="s">
        <v>87</v>
      </c>
      <c r="D39" s="26" t="s">
        <v>66</v>
      </c>
      <c r="E39" s="26">
        <v>32</v>
      </c>
      <c r="F39" s="26">
        <v>100</v>
      </c>
      <c r="G39" s="26">
        <v>51</v>
      </c>
      <c r="H39" s="26">
        <v>200</v>
      </c>
      <c r="L39" s="15">
        <v>45355</v>
      </c>
      <c r="M39" s="14">
        <v>4.9698000000000002</v>
      </c>
      <c r="N39" s="14">
        <v>4.5788000000000002</v>
      </c>
    </row>
    <row r="40" spans="2:14" ht="15" thickBot="1">
      <c r="B40" s="16">
        <v>24</v>
      </c>
      <c r="C40" s="26" t="s">
        <v>86</v>
      </c>
      <c r="D40" s="26" t="s">
        <v>63</v>
      </c>
      <c r="E40" s="26">
        <v>32</v>
      </c>
      <c r="F40" s="26">
        <v>100</v>
      </c>
      <c r="G40" s="26">
        <v>51</v>
      </c>
      <c r="H40" s="26">
        <v>200</v>
      </c>
      <c r="L40" s="15">
        <v>45356</v>
      </c>
      <c r="M40" s="14">
        <v>4.9718999999999998</v>
      </c>
      <c r="N40" s="14">
        <v>4.5819999999999999</v>
      </c>
    </row>
    <row r="41" spans="2:14" ht="15" thickBot="1">
      <c r="B41" s="16">
        <v>25</v>
      </c>
      <c r="C41" s="26" t="s">
        <v>88</v>
      </c>
      <c r="D41" s="26" t="s">
        <v>63</v>
      </c>
      <c r="E41" s="26">
        <v>32</v>
      </c>
      <c r="F41" s="26">
        <v>120</v>
      </c>
      <c r="G41" s="26">
        <v>51</v>
      </c>
      <c r="H41" s="26">
        <v>240</v>
      </c>
      <c r="L41" s="15">
        <v>45357</v>
      </c>
      <c r="M41" s="14">
        <v>4.9718</v>
      </c>
      <c r="N41" s="14">
        <v>4.5712999999999999</v>
      </c>
    </row>
    <row r="42" spans="2:14" ht="15" thickBot="1">
      <c r="B42" s="16">
        <v>26</v>
      </c>
      <c r="C42" s="26" t="s">
        <v>89</v>
      </c>
      <c r="D42" s="26" t="s">
        <v>66</v>
      </c>
      <c r="E42" s="26">
        <v>32</v>
      </c>
      <c r="F42" s="26">
        <v>100</v>
      </c>
      <c r="G42" s="26">
        <v>51</v>
      </c>
      <c r="H42" s="26">
        <v>200</v>
      </c>
      <c r="L42" s="15">
        <v>45358</v>
      </c>
      <c r="M42" s="14">
        <v>4.9706999999999999</v>
      </c>
      <c r="N42" s="14">
        <v>4.5632000000000001</v>
      </c>
    </row>
    <row r="43" spans="2:14" ht="15" thickBot="1">
      <c r="B43" s="16">
        <v>27</v>
      </c>
      <c r="C43" s="26" t="s">
        <v>90</v>
      </c>
      <c r="D43" s="26" t="s">
        <v>63</v>
      </c>
      <c r="E43" s="26">
        <v>32</v>
      </c>
      <c r="F43" s="26">
        <v>100</v>
      </c>
      <c r="G43" s="26">
        <v>51</v>
      </c>
      <c r="H43" s="26">
        <v>200</v>
      </c>
      <c r="L43" s="15">
        <v>45359</v>
      </c>
      <c r="M43" s="14">
        <v>4.9691000000000001</v>
      </c>
      <c r="N43" s="14">
        <v>4.5462999999999996</v>
      </c>
    </row>
    <row r="44" spans="2:14" ht="15" thickBot="1">
      <c r="B44" s="16">
        <v>28</v>
      </c>
      <c r="C44" s="26" t="s">
        <v>91</v>
      </c>
      <c r="D44" s="26" t="s">
        <v>63</v>
      </c>
      <c r="E44" s="26">
        <v>32</v>
      </c>
      <c r="F44" s="26">
        <v>120</v>
      </c>
      <c r="G44" s="26">
        <v>51</v>
      </c>
      <c r="H44" s="26">
        <v>240</v>
      </c>
      <c r="L44" s="15">
        <v>45362</v>
      </c>
      <c r="M44" s="14">
        <v>4.9671000000000003</v>
      </c>
      <c r="N44" s="14">
        <v>4.5396999999999998</v>
      </c>
    </row>
    <row r="45" spans="2:14" ht="15" thickBot="1">
      <c r="B45" s="16">
        <v>29</v>
      </c>
      <c r="C45" s="26" t="s">
        <v>92</v>
      </c>
      <c r="D45" s="26" t="s">
        <v>63</v>
      </c>
      <c r="E45" s="26">
        <v>32</v>
      </c>
      <c r="F45" s="26">
        <v>100</v>
      </c>
      <c r="G45" s="26">
        <v>51</v>
      </c>
      <c r="H45" s="26">
        <v>200</v>
      </c>
      <c r="L45" s="15">
        <v>45363</v>
      </c>
      <c r="M45" s="14">
        <v>4.9664999999999999</v>
      </c>
      <c r="N45" s="14">
        <v>4.5427</v>
      </c>
    </row>
    <row r="46" spans="2:14" ht="15" thickBot="1">
      <c r="B46" s="16">
        <v>30</v>
      </c>
      <c r="C46" s="26" t="s">
        <v>93</v>
      </c>
      <c r="D46" s="26" t="s">
        <v>63</v>
      </c>
      <c r="E46" s="26">
        <v>32</v>
      </c>
      <c r="F46" s="26">
        <v>100</v>
      </c>
      <c r="G46" s="26">
        <v>51</v>
      </c>
      <c r="H46" s="26">
        <v>200</v>
      </c>
      <c r="L46" s="15">
        <v>45364</v>
      </c>
      <c r="M46" s="14">
        <v>4.9675000000000002</v>
      </c>
      <c r="N46" s="14">
        <v>4.5439999999999996</v>
      </c>
    </row>
    <row r="47" spans="2:14" ht="15" thickBot="1">
      <c r="B47" s="16">
        <v>31</v>
      </c>
      <c r="C47" s="26" t="s">
        <v>94</v>
      </c>
      <c r="D47" s="26" t="s">
        <v>63</v>
      </c>
      <c r="E47" s="26">
        <v>38</v>
      </c>
      <c r="F47" s="26">
        <v>150</v>
      </c>
      <c r="G47" s="26">
        <v>60</v>
      </c>
      <c r="H47" s="26">
        <v>300</v>
      </c>
      <c r="L47" s="15">
        <v>45365</v>
      </c>
      <c r="M47" s="14">
        <v>4.9711999999999996</v>
      </c>
      <c r="N47" s="14">
        <v>4.5441000000000003</v>
      </c>
    </row>
    <row r="48" spans="2:14" ht="15" thickBot="1">
      <c r="B48" s="16">
        <v>32</v>
      </c>
      <c r="C48" s="26" t="s">
        <v>95</v>
      </c>
      <c r="D48" s="26" t="s">
        <v>63</v>
      </c>
      <c r="E48" s="26">
        <v>32</v>
      </c>
      <c r="F48" s="26">
        <v>100</v>
      </c>
      <c r="G48" s="26">
        <v>51</v>
      </c>
      <c r="H48" s="26">
        <v>200</v>
      </c>
    </row>
    <row r="49" spans="2:8" ht="15" thickBot="1">
      <c r="B49" s="16">
        <v>33</v>
      </c>
      <c r="C49" s="26" t="s">
        <v>96</v>
      </c>
      <c r="D49" s="26" t="s">
        <v>66</v>
      </c>
      <c r="E49" s="26">
        <v>35</v>
      </c>
      <c r="F49" s="26">
        <v>150</v>
      </c>
      <c r="G49" s="26">
        <v>56</v>
      </c>
      <c r="H49" s="26">
        <v>300</v>
      </c>
    </row>
    <row r="50" spans="2:8" ht="15" thickBot="1">
      <c r="B50" s="16">
        <v>34</v>
      </c>
      <c r="C50" s="26" t="s">
        <v>97</v>
      </c>
      <c r="D50" s="26" t="s">
        <v>63</v>
      </c>
      <c r="E50" s="26">
        <v>32</v>
      </c>
      <c r="F50" s="26">
        <v>100</v>
      </c>
      <c r="G50" s="26">
        <v>51</v>
      </c>
      <c r="H50" s="26">
        <v>200</v>
      </c>
    </row>
    <row r="51" spans="2:8" ht="15" thickBot="1">
      <c r="B51" s="16">
        <v>35</v>
      </c>
      <c r="C51" s="26" t="s">
        <v>98</v>
      </c>
      <c r="D51" s="26" t="s">
        <v>63</v>
      </c>
      <c r="E51" s="26">
        <v>32</v>
      </c>
      <c r="F51" s="26">
        <v>120</v>
      </c>
      <c r="G51" s="26">
        <v>51</v>
      </c>
      <c r="H51" s="26">
        <v>240</v>
      </c>
    </row>
    <row r="52" spans="2:8" ht="28.2" thickBot="1">
      <c r="B52" s="16">
        <v>36</v>
      </c>
      <c r="C52" s="26" t="s">
        <v>99</v>
      </c>
      <c r="D52" s="26" t="s">
        <v>63</v>
      </c>
      <c r="E52" s="26">
        <v>38</v>
      </c>
      <c r="F52" s="26">
        <v>140</v>
      </c>
      <c r="G52" s="26">
        <v>60</v>
      </c>
      <c r="H52" s="26">
        <v>280</v>
      </c>
    </row>
    <row r="53" spans="2:8" ht="15" thickBot="1">
      <c r="B53" s="16">
        <v>37</v>
      </c>
      <c r="C53" s="26" t="s">
        <v>100</v>
      </c>
      <c r="D53" s="26" t="s">
        <v>63</v>
      </c>
      <c r="E53" s="26">
        <v>32</v>
      </c>
      <c r="F53" s="26">
        <v>100</v>
      </c>
      <c r="G53" s="26">
        <v>51</v>
      </c>
      <c r="H53" s="26">
        <v>200</v>
      </c>
    </row>
    <row r="54" spans="2:8" ht="15" thickBot="1">
      <c r="B54" s="16">
        <v>38</v>
      </c>
      <c r="C54" s="26" t="s">
        <v>101</v>
      </c>
      <c r="D54" s="26" t="s">
        <v>66</v>
      </c>
      <c r="E54" s="26">
        <v>35</v>
      </c>
      <c r="F54" s="26">
        <v>150</v>
      </c>
      <c r="G54" s="26">
        <v>56</v>
      </c>
      <c r="H54" s="26">
        <v>300</v>
      </c>
    </row>
    <row r="55" spans="2:8" ht="15" thickBot="1">
      <c r="B55" s="16">
        <v>39</v>
      </c>
      <c r="C55" s="26" t="s">
        <v>102</v>
      </c>
      <c r="D55" s="26" t="s">
        <v>63</v>
      </c>
      <c r="E55" s="26">
        <v>32</v>
      </c>
      <c r="F55" s="26">
        <v>100</v>
      </c>
      <c r="G55" s="26">
        <v>51</v>
      </c>
      <c r="H55" s="26">
        <v>200</v>
      </c>
    </row>
    <row r="56" spans="2:8" ht="15" thickBot="1">
      <c r="B56" s="16">
        <v>40</v>
      </c>
      <c r="C56" s="26" t="s">
        <v>103</v>
      </c>
      <c r="D56" s="26" t="s">
        <v>63</v>
      </c>
      <c r="E56" s="26">
        <v>32</v>
      </c>
      <c r="F56" s="26">
        <v>100</v>
      </c>
      <c r="G56" s="26">
        <v>51</v>
      </c>
      <c r="H56" s="26">
        <v>200</v>
      </c>
    </row>
    <row r="57" spans="2:8" ht="15" thickBot="1">
      <c r="B57" s="16">
        <v>41</v>
      </c>
      <c r="C57" s="26" t="s">
        <v>104</v>
      </c>
      <c r="D57" s="26" t="s">
        <v>63</v>
      </c>
      <c r="E57" s="26">
        <v>32</v>
      </c>
      <c r="F57" s="26">
        <v>100</v>
      </c>
      <c r="G57" s="26">
        <v>51</v>
      </c>
      <c r="H57" s="26">
        <v>200</v>
      </c>
    </row>
    <row r="58" spans="2:8" ht="15" thickBot="1">
      <c r="B58" s="16">
        <v>42</v>
      </c>
      <c r="C58" s="26" t="s">
        <v>106</v>
      </c>
      <c r="D58" s="26" t="s">
        <v>66</v>
      </c>
      <c r="E58" s="26">
        <v>30</v>
      </c>
      <c r="F58" s="26">
        <v>120</v>
      </c>
      <c r="G58" s="26">
        <v>48</v>
      </c>
      <c r="H58" s="26">
        <v>240</v>
      </c>
    </row>
    <row r="59" spans="2:8" ht="15" thickBot="1">
      <c r="B59" s="16">
        <v>43</v>
      </c>
      <c r="C59" s="26" t="s">
        <v>105</v>
      </c>
      <c r="D59" s="26" t="s">
        <v>63</v>
      </c>
      <c r="E59" s="26">
        <v>38</v>
      </c>
      <c r="F59" s="26">
        <v>180</v>
      </c>
      <c r="G59" s="26">
        <v>60</v>
      </c>
      <c r="H59" s="26">
        <v>360</v>
      </c>
    </row>
    <row r="60" spans="2:8" ht="15" thickBot="1">
      <c r="B60" s="16">
        <v>44</v>
      </c>
      <c r="C60" s="26" t="s">
        <v>107</v>
      </c>
      <c r="D60" s="26" t="s">
        <v>63</v>
      </c>
      <c r="E60" s="26">
        <v>32</v>
      </c>
      <c r="F60" s="26">
        <v>110</v>
      </c>
      <c r="G60" s="26">
        <v>51</v>
      </c>
      <c r="H60" s="26">
        <v>220</v>
      </c>
    </row>
    <row r="61" spans="2:8" ht="15" thickBot="1">
      <c r="B61" s="16">
        <v>45</v>
      </c>
      <c r="C61" s="26" t="s">
        <v>108</v>
      </c>
      <c r="D61" s="26" t="s">
        <v>66</v>
      </c>
      <c r="E61" s="26">
        <v>32</v>
      </c>
      <c r="F61" s="26">
        <v>100</v>
      </c>
      <c r="G61" s="26">
        <v>51</v>
      </c>
      <c r="H61" s="26">
        <v>200</v>
      </c>
    </row>
    <row r="62" spans="2:8" ht="15" thickBot="1">
      <c r="B62" s="16">
        <v>46</v>
      </c>
      <c r="C62" s="26" t="s">
        <v>109</v>
      </c>
      <c r="D62" s="26" t="s">
        <v>66</v>
      </c>
      <c r="E62" s="26">
        <v>32</v>
      </c>
      <c r="F62" s="26">
        <v>120</v>
      </c>
      <c r="G62" s="26">
        <v>51</v>
      </c>
      <c r="H62" s="26">
        <v>240</v>
      </c>
    </row>
    <row r="63" spans="2:8" ht="15" thickBot="1">
      <c r="B63" s="16">
        <v>47</v>
      </c>
      <c r="C63" s="26" t="s">
        <v>110</v>
      </c>
      <c r="D63" s="26" t="s">
        <v>66</v>
      </c>
      <c r="E63" s="26">
        <v>35</v>
      </c>
      <c r="F63" s="26">
        <v>150</v>
      </c>
      <c r="G63" s="26">
        <v>56</v>
      </c>
      <c r="H63" s="26">
        <v>300</v>
      </c>
    </row>
    <row r="64" spans="2:8" ht="15" thickBot="1">
      <c r="B64" s="16">
        <v>48</v>
      </c>
      <c r="C64" s="26" t="s">
        <v>111</v>
      </c>
      <c r="D64" s="26" t="s">
        <v>63</v>
      </c>
      <c r="E64" s="26">
        <v>32</v>
      </c>
      <c r="F64" s="26">
        <v>100</v>
      </c>
      <c r="G64" s="26">
        <v>51</v>
      </c>
      <c r="H64" s="26">
        <v>200</v>
      </c>
    </row>
    <row r="65" spans="2:8" ht="15" thickBot="1">
      <c r="B65" s="16">
        <v>49</v>
      </c>
      <c r="C65" s="26" t="s">
        <v>112</v>
      </c>
      <c r="D65" s="26" t="s">
        <v>63</v>
      </c>
      <c r="E65" s="26">
        <v>32</v>
      </c>
      <c r="F65" s="26">
        <v>110</v>
      </c>
      <c r="G65" s="26">
        <v>51</v>
      </c>
      <c r="H65" s="26">
        <v>220</v>
      </c>
    </row>
    <row r="66" spans="2:8" ht="15" thickBot="1">
      <c r="B66" s="16">
        <v>50</v>
      </c>
      <c r="C66" s="26" t="s">
        <v>113</v>
      </c>
      <c r="D66" s="26" t="s">
        <v>63</v>
      </c>
      <c r="E66" s="26">
        <v>32</v>
      </c>
      <c r="F66" s="26">
        <v>110</v>
      </c>
      <c r="G66" s="26">
        <v>51</v>
      </c>
      <c r="H66" s="26">
        <v>220</v>
      </c>
    </row>
    <row r="67" spans="2:8" ht="15" thickBot="1">
      <c r="B67" s="16">
        <v>51</v>
      </c>
      <c r="C67" s="26" t="s">
        <v>114</v>
      </c>
      <c r="D67" s="26" t="s">
        <v>63</v>
      </c>
      <c r="E67" s="26">
        <v>32</v>
      </c>
      <c r="F67" s="26">
        <v>100</v>
      </c>
      <c r="G67" s="26">
        <v>51</v>
      </c>
      <c r="H67" s="26">
        <v>200</v>
      </c>
    </row>
    <row r="68" spans="2:8" ht="15" thickBot="1">
      <c r="B68" s="16">
        <v>52</v>
      </c>
      <c r="C68" s="26" t="s">
        <v>115</v>
      </c>
      <c r="D68" s="26" t="s">
        <v>66</v>
      </c>
      <c r="E68" s="26">
        <v>38</v>
      </c>
      <c r="F68" s="26">
        <v>150</v>
      </c>
      <c r="G68" s="26">
        <v>60</v>
      </c>
      <c r="H68" s="26">
        <v>300</v>
      </c>
    </row>
    <row r="69" spans="2:8" ht="15" thickBot="1">
      <c r="B69" s="16">
        <v>53</v>
      </c>
      <c r="C69" s="26" t="s">
        <v>116</v>
      </c>
      <c r="D69" s="26" t="s">
        <v>63</v>
      </c>
      <c r="E69" s="26">
        <v>38</v>
      </c>
      <c r="F69" s="26">
        <v>100</v>
      </c>
      <c r="G69" s="26">
        <v>60</v>
      </c>
      <c r="H69" s="26">
        <v>200</v>
      </c>
    </row>
    <row r="70" spans="2:8" ht="15" thickBot="1">
      <c r="B70" s="16">
        <v>54</v>
      </c>
      <c r="C70" s="26" t="s">
        <v>117</v>
      </c>
      <c r="D70" s="26" t="s">
        <v>66</v>
      </c>
      <c r="E70" s="26">
        <v>35</v>
      </c>
      <c r="F70" s="26">
        <v>150</v>
      </c>
      <c r="G70" s="26">
        <v>56</v>
      </c>
      <c r="H70" s="26">
        <v>300</v>
      </c>
    </row>
    <row r="71" spans="2:8" ht="15" thickBot="1">
      <c r="B71" s="16">
        <v>55</v>
      </c>
      <c r="C71" s="26" t="s">
        <v>118</v>
      </c>
      <c r="D71" s="26" t="s">
        <v>63</v>
      </c>
      <c r="E71" s="26">
        <v>32</v>
      </c>
      <c r="F71" s="26">
        <v>110</v>
      </c>
      <c r="G71" s="26">
        <v>51</v>
      </c>
      <c r="H71" s="26">
        <v>220</v>
      </c>
    </row>
    <row r="72" spans="2:8" ht="15" thickBot="1">
      <c r="B72" s="16">
        <v>56</v>
      </c>
      <c r="C72" s="26" t="s">
        <v>192</v>
      </c>
      <c r="D72" s="26" t="s">
        <v>63</v>
      </c>
      <c r="E72" s="26">
        <v>47</v>
      </c>
      <c r="F72" s="26">
        <v>140</v>
      </c>
      <c r="G72" s="26">
        <v>75</v>
      </c>
      <c r="H72" s="26">
        <v>280</v>
      </c>
    </row>
    <row r="73" spans="2:8" ht="15" thickBot="1">
      <c r="B73" s="16">
        <v>57</v>
      </c>
      <c r="C73" s="26" t="s">
        <v>119</v>
      </c>
      <c r="D73" s="26" t="s">
        <v>63</v>
      </c>
      <c r="E73" s="26">
        <v>38</v>
      </c>
      <c r="F73" s="26">
        <v>120</v>
      </c>
      <c r="G73" s="26">
        <v>60</v>
      </c>
      <c r="H73" s="26">
        <v>240</v>
      </c>
    </row>
    <row r="74" spans="2:8" ht="15" thickBot="1">
      <c r="B74" s="16">
        <v>58</v>
      </c>
      <c r="C74" s="26" t="s">
        <v>120</v>
      </c>
      <c r="D74" s="26" t="s">
        <v>63</v>
      </c>
      <c r="E74" s="26">
        <v>32</v>
      </c>
      <c r="F74" s="26">
        <v>100</v>
      </c>
      <c r="G74" s="26">
        <v>51</v>
      </c>
      <c r="H74" s="26">
        <v>200</v>
      </c>
    </row>
    <row r="75" spans="2:8" ht="15" thickBot="1">
      <c r="B75" s="16">
        <v>59</v>
      </c>
      <c r="C75" s="26" t="s">
        <v>121</v>
      </c>
      <c r="D75" s="26" t="s">
        <v>66</v>
      </c>
      <c r="E75" s="26">
        <v>35</v>
      </c>
      <c r="F75" s="26">
        <v>150</v>
      </c>
      <c r="G75" s="26">
        <v>56</v>
      </c>
      <c r="H75" s="26">
        <v>300</v>
      </c>
    </row>
    <row r="76" spans="2:8" ht="15" thickBot="1">
      <c r="B76" s="16">
        <v>60</v>
      </c>
      <c r="C76" s="26" t="s">
        <v>122</v>
      </c>
      <c r="D76" s="26" t="s">
        <v>66</v>
      </c>
      <c r="E76" s="26">
        <v>35</v>
      </c>
      <c r="F76" s="26">
        <v>150</v>
      </c>
      <c r="G76" s="26">
        <v>56</v>
      </c>
      <c r="H76" s="26">
        <v>300</v>
      </c>
    </row>
    <row r="77" spans="2:8" ht="15" thickBot="1">
      <c r="B77" s="16">
        <v>61</v>
      </c>
      <c r="C77" s="26" t="s">
        <v>123</v>
      </c>
      <c r="D77" s="26" t="s">
        <v>63</v>
      </c>
      <c r="E77" s="26">
        <v>32</v>
      </c>
      <c r="F77" s="26">
        <v>100</v>
      </c>
      <c r="G77" s="26">
        <v>51</v>
      </c>
      <c r="H77" s="26">
        <v>200</v>
      </c>
    </row>
    <row r="78" spans="2:8" ht="15" thickBot="1">
      <c r="B78" s="16">
        <v>62</v>
      </c>
      <c r="C78" s="26" t="s">
        <v>124</v>
      </c>
      <c r="D78" s="26" t="s">
        <v>63</v>
      </c>
      <c r="E78" s="26">
        <v>32</v>
      </c>
      <c r="F78" s="26">
        <v>100</v>
      </c>
      <c r="G78" s="26">
        <v>51</v>
      </c>
      <c r="H78" s="26">
        <v>200</v>
      </c>
    </row>
    <row r="79" spans="2:8" ht="15" thickBot="1">
      <c r="B79" s="16">
        <v>63</v>
      </c>
      <c r="C79" s="26" t="s">
        <v>125</v>
      </c>
      <c r="D79" s="26" t="s">
        <v>63</v>
      </c>
      <c r="E79" s="26">
        <v>38</v>
      </c>
      <c r="F79" s="26">
        <v>160</v>
      </c>
      <c r="G79" s="26">
        <v>60</v>
      </c>
      <c r="H79" s="26">
        <v>320</v>
      </c>
    </row>
    <row r="80" spans="2:8" ht="15" thickBot="1">
      <c r="B80" s="16">
        <v>64</v>
      </c>
      <c r="C80" s="26" t="s">
        <v>126</v>
      </c>
      <c r="D80" s="26" t="s">
        <v>66</v>
      </c>
      <c r="E80" s="26">
        <v>35</v>
      </c>
      <c r="F80" s="26">
        <v>150</v>
      </c>
      <c r="G80" s="26">
        <v>56</v>
      </c>
      <c r="H80" s="26">
        <v>300</v>
      </c>
    </row>
    <row r="81" spans="2:8" ht="15" thickBot="1">
      <c r="B81" s="16">
        <v>65</v>
      </c>
      <c r="C81" s="26" t="s">
        <v>127</v>
      </c>
      <c r="D81" s="26" t="s">
        <v>63</v>
      </c>
      <c r="E81" s="26">
        <v>32</v>
      </c>
      <c r="F81" s="26">
        <v>100</v>
      </c>
      <c r="G81" s="26">
        <v>51</v>
      </c>
      <c r="H81" s="26">
        <v>200</v>
      </c>
    </row>
    <row r="82" spans="2:8" ht="15" thickBot="1">
      <c r="B82" s="16">
        <v>66</v>
      </c>
      <c r="C82" s="26" t="s">
        <v>128</v>
      </c>
      <c r="D82" s="26" t="s">
        <v>66</v>
      </c>
      <c r="E82" s="26">
        <v>35</v>
      </c>
      <c r="F82" s="26">
        <v>150</v>
      </c>
      <c r="G82" s="26">
        <v>56</v>
      </c>
      <c r="H82" s="26">
        <v>300</v>
      </c>
    </row>
    <row r="83" spans="2:8" ht="15" thickBot="1">
      <c r="B83" s="16">
        <v>67</v>
      </c>
      <c r="C83" s="26" t="s">
        <v>129</v>
      </c>
      <c r="D83" s="26" t="s">
        <v>63</v>
      </c>
      <c r="E83" s="26">
        <v>32</v>
      </c>
      <c r="F83" s="26">
        <v>100</v>
      </c>
      <c r="G83" s="26">
        <v>51</v>
      </c>
      <c r="H83" s="26">
        <v>200</v>
      </c>
    </row>
    <row r="84" spans="2:8" ht="15" thickBot="1">
      <c r="B84" s="16">
        <v>68</v>
      </c>
      <c r="C84" s="26" t="s">
        <v>130</v>
      </c>
      <c r="D84" s="26" t="s">
        <v>63</v>
      </c>
      <c r="E84" s="26">
        <v>32</v>
      </c>
      <c r="F84" s="26">
        <v>100</v>
      </c>
      <c r="G84" s="26">
        <v>51</v>
      </c>
      <c r="H84" s="26">
        <v>200</v>
      </c>
    </row>
    <row r="85" spans="2:8" ht="15" thickBot="1">
      <c r="B85" s="16">
        <v>69</v>
      </c>
      <c r="C85" s="26" t="s">
        <v>132</v>
      </c>
      <c r="D85" s="26" t="s">
        <v>63</v>
      </c>
      <c r="E85" s="26">
        <v>32</v>
      </c>
      <c r="F85" s="26">
        <v>100</v>
      </c>
      <c r="G85" s="26">
        <v>51</v>
      </c>
      <c r="H85" s="26">
        <v>200</v>
      </c>
    </row>
    <row r="86" spans="2:8" ht="15" thickBot="1">
      <c r="B86" s="16">
        <v>70</v>
      </c>
      <c r="C86" s="26" t="s">
        <v>131</v>
      </c>
      <c r="D86" s="26" t="s">
        <v>63</v>
      </c>
      <c r="E86" s="26">
        <v>32</v>
      </c>
      <c r="F86" s="26">
        <v>100</v>
      </c>
      <c r="G86" s="26">
        <v>51</v>
      </c>
      <c r="H86" s="26">
        <v>200</v>
      </c>
    </row>
    <row r="87" spans="2:8" ht="15" thickBot="1">
      <c r="B87" s="16">
        <v>71</v>
      </c>
      <c r="C87" s="26" t="s">
        <v>133</v>
      </c>
      <c r="D87" s="26" t="s">
        <v>63</v>
      </c>
      <c r="E87" s="26">
        <v>32</v>
      </c>
      <c r="F87" s="26">
        <v>100</v>
      </c>
      <c r="G87" s="26">
        <v>51</v>
      </c>
      <c r="H87" s="26">
        <v>200</v>
      </c>
    </row>
    <row r="88" spans="2:8" ht="15" thickBot="1">
      <c r="B88" s="16">
        <v>72</v>
      </c>
      <c r="C88" s="26" t="s">
        <v>134</v>
      </c>
      <c r="D88" s="26" t="s">
        <v>63</v>
      </c>
      <c r="E88" s="26">
        <v>32</v>
      </c>
      <c r="F88" s="26">
        <v>110</v>
      </c>
      <c r="G88" s="26">
        <v>51</v>
      </c>
      <c r="H88" s="26">
        <v>220</v>
      </c>
    </row>
    <row r="89" spans="2:8" ht="15" thickBot="1">
      <c r="B89" s="16">
        <v>73</v>
      </c>
      <c r="C89" s="26" t="s">
        <v>135</v>
      </c>
      <c r="D89" s="26" t="s">
        <v>63</v>
      </c>
      <c r="E89" s="26">
        <v>32</v>
      </c>
      <c r="F89" s="26">
        <v>100</v>
      </c>
      <c r="G89" s="26">
        <v>51</v>
      </c>
      <c r="H89" s="26">
        <v>200</v>
      </c>
    </row>
    <row r="90" spans="2:8" ht="15" thickBot="1">
      <c r="B90" s="16">
        <v>74</v>
      </c>
      <c r="C90" s="26" t="s">
        <v>136</v>
      </c>
      <c r="D90" s="26" t="s">
        <v>63</v>
      </c>
      <c r="E90" s="26">
        <v>53</v>
      </c>
      <c r="F90" s="26">
        <v>250</v>
      </c>
      <c r="G90" s="26">
        <v>85</v>
      </c>
      <c r="H90" s="26">
        <v>500</v>
      </c>
    </row>
    <row r="91" spans="2:8" ht="15" thickBot="1">
      <c r="B91" s="16">
        <v>75</v>
      </c>
      <c r="C91" s="26" t="s">
        <v>137</v>
      </c>
      <c r="D91" s="26" t="s">
        <v>63</v>
      </c>
      <c r="E91" s="26">
        <v>32</v>
      </c>
      <c r="F91" s="26">
        <v>100</v>
      </c>
      <c r="G91" s="26">
        <v>51</v>
      </c>
      <c r="H91" s="26">
        <v>200</v>
      </c>
    </row>
    <row r="92" spans="2:8" ht="15" thickBot="1">
      <c r="B92" s="16">
        <v>76</v>
      </c>
      <c r="C92" s="26" t="s">
        <v>138</v>
      </c>
      <c r="D92" s="26" t="s">
        <v>63</v>
      </c>
      <c r="E92" s="26">
        <v>38</v>
      </c>
      <c r="F92" s="26">
        <v>100</v>
      </c>
      <c r="G92" s="26">
        <v>60</v>
      </c>
      <c r="H92" s="26">
        <v>200</v>
      </c>
    </row>
    <row r="93" spans="2:8" ht="15" thickBot="1">
      <c r="B93" s="16">
        <v>77</v>
      </c>
      <c r="C93" s="26" t="s">
        <v>139</v>
      </c>
      <c r="D93" s="26" t="s">
        <v>63</v>
      </c>
      <c r="E93" s="26">
        <v>38</v>
      </c>
      <c r="F93" s="26">
        <v>100</v>
      </c>
      <c r="G93" s="26">
        <v>60</v>
      </c>
      <c r="H93" s="26">
        <v>200</v>
      </c>
    </row>
    <row r="94" spans="2:8" ht="15" thickBot="1">
      <c r="B94" s="16">
        <v>78</v>
      </c>
      <c r="C94" s="26" t="s">
        <v>140</v>
      </c>
      <c r="D94" s="26" t="s">
        <v>63</v>
      </c>
      <c r="E94" s="26">
        <v>60</v>
      </c>
      <c r="F94" s="26">
        <v>80</v>
      </c>
      <c r="G94" s="26">
        <v>96</v>
      </c>
      <c r="H94" s="26">
        <v>160</v>
      </c>
    </row>
    <row r="95" spans="2:8" ht="15" thickBot="1">
      <c r="B95" s="16">
        <v>79</v>
      </c>
      <c r="C95" s="26" t="s">
        <v>141</v>
      </c>
      <c r="D95" s="26" t="s">
        <v>63</v>
      </c>
      <c r="E95" s="26">
        <v>38</v>
      </c>
      <c r="F95" s="26">
        <v>100</v>
      </c>
      <c r="G95" s="26">
        <v>60</v>
      </c>
      <c r="H95" s="26">
        <v>200</v>
      </c>
    </row>
    <row r="96" spans="2:8" ht="15" thickBot="1">
      <c r="B96" s="16">
        <v>80</v>
      </c>
      <c r="C96" s="26" t="s">
        <v>142</v>
      </c>
      <c r="D96" s="26" t="s">
        <v>66</v>
      </c>
      <c r="E96" s="26">
        <v>35</v>
      </c>
      <c r="F96" s="26">
        <v>150</v>
      </c>
      <c r="G96" s="26">
        <v>56</v>
      </c>
      <c r="H96" s="26">
        <v>300</v>
      </c>
    </row>
    <row r="97" spans="2:8" ht="15" thickBot="1">
      <c r="B97" s="16">
        <v>81</v>
      </c>
      <c r="C97" s="26" t="s">
        <v>143</v>
      </c>
      <c r="D97" s="26" t="s">
        <v>66</v>
      </c>
      <c r="E97" s="26">
        <v>35</v>
      </c>
      <c r="F97" s="26">
        <v>130</v>
      </c>
      <c r="G97" s="26">
        <v>56</v>
      </c>
      <c r="H97" s="26">
        <v>260</v>
      </c>
    </row>
    <row r="98" spans="2:8" ht="15" thickBot="1">
      <c r="B98" s="16">
        <v>82</v>
      </c>
      <c r="C98" s="26" t="s">
        <v>144</v>
      </c>
      <c r="D98" s="26" t="s">
        <v>63</v>
      </c>
      <c r="E98" s="26">
        <v>38</v>
      </c>
      <c r="F98" s="26">
        <v>120</v>
      </c>
      <c r="G98" s="26">
        <v>60</v>
      </c>
      <c r="H98" s="26">
        <v>240</v>
      </c>
    </row>
    <row r="99" spans="2:8" ht="15" thickBot="1">
      <c r="B99" s="16">
        <v>83</v>
      </c>
      <c r="C99" s="26" t="s">
        <v>145</v>
      </c>
      <c r="D99" s="26" t="s">
        <v>66</v>
      </c>
      <c r="E99" s="26">
        <v>35</v>
      </c>
      <c r="F99" s="26">
        <v>150</v>
      </c>
      <c r="G99" s="26">
        <v>56</v>
      </c>
      <c r="H99" s="26">
        <v>300</v>
      </c>
    </row>
    <row r="100" spans="2:8" ht="15" thickBot="1">
      <c r="B100" s="16">
        <v>84</v>
      </c>
      <c r="C100" s="26" t="s">
        <v>146</v>
      </c>
      <c r="D100" s="26" t="s">
        <v>63</v>
      </c>
      <c r="E100" s="26">
        <v>32</v>
      </c>
      <c r="F100" s="26">
        <v>110</v>
      </c>
      <c r="G100" s="26">
        <v>51</v>
      </c>
      <c r="H100" s="26">
        <v>220</v>
      </c>
    </row>
    <row r="101" spans="2:8" ht="15" thickBot="1">
      <c r="B101" s="16">
        <v>85</v>
      </c>
      <c r="C101" s="26" t="s">
        <v>147</v>
      </c>
      <c r="D101" s="26" t="s">
        <v>63</v>
      </c>
      <c r="E101" s="26">
        <v>53</v>
      </c>
      <c r="F101" s="26">
        <v>250</v>
      </c>
      <c r="G101" s="26">
        <v>84</v>
      </c>
      <c r="H101" s="26">
        <v>500</v>
      </c>
    </row>
    <row r="102" spans="2:8" ht="15" thickBot="1">
      <c r="B102" s="16">
        <v>86</v>
      </c>
      <c r="C102" s="26" t="s">
        <v>150</v>
      </c>
      <c r="D102" s="26" t="s">
        <v>63</v>
      </c>
      <c r="E102" s="26">
        <v>38</v>
      </c>
      <c r="F102" s="26">
        <v>100</v>
      </c>
      <c r="G102" s="26">
        <v>60</v>
      </c>
      <c r="H102" s="26">
        <v>200</v>
      </c>
    </row>
    <row r="103" spans="2:8" ht="15" thickBot="1">
      <c r="B103" s="16">
        <v>87</v>
      </c>
      <c r="C103" s="26" t="s">
        <v>148</v>
      </c>
      <c r="D103" s="26" t="s">
        <v>63</v>
      </c>
      <c r="E103" s="26">
        <v>38</v>
      </c>
      <c r="F103" s="26">
        <v>100</v>
      </c>
      <c r="G103" s="26">
        <v>60</v>
      </c>
      <c r="H103" s="26">
        <v>200</v>
      </c>
    </row>
    <row r="104" spans="2:8" ht="15" thickBot="1">
      <c r="B104" s="16">
        <v>88</v>
      </c>
      <c r="C104" s="26" t="s">
        <v>149</v>
      </c>
      <c r="D104" s="26" t="s">
        <v>63</v>
      </c>
      <c r="E104" s="26">
        <v>32</v>
      </c>
      <c r="F104" s="26">
        <v>100</v>
      </c>
      <c r="G104" s="26">
        <v>51</v>
      </c>
      <c r="H104" s="26">
        <v>200</v>
      </c>
    </row>
    <row r="105" spans="2:8" ht="15" thickBot="1">
      <c r="B105" s="16">
        <v>89</v>
      </c>
      <c r="C105" s="26" t="s">
        <v>151</v>
      </c>
      <c r="D105" s="26" t="s">
        <v>63</v>
      </c>
      <c r="E105" s="26">
        <v>38</v>
      </c>
      <c r="F105" s="26">
        <v>150</v>
      </c>
      <c r="G105" s="26">
        <v>60</v>
      </c>
      <c r="H105" s="26">
        <v>300</v>
      </c>
    </row>
    <row r="106" spans="2:8" ht="15" thickBot="1">
      <c r="B106" s="16">
        <v>90</v>
      </c>
      <c r="C106" s="26" t="s">
        <v>152</v>
      </c>
      <c r="D106" s="26" t="s">
        <v>63</v>
      </c>
      <c r="E106" s="26">
        <v>32</v>
      </c>
      <c r="F106" s="26">
        <v>100</v>
      </c>
      <c r="G106" s="26">
        <v>51</v>
      </c>
      <c r="H106" s="26">
        <v>200</v>
      </c>
    </row>
    <row r="107" spans="2:8" ht="15" thickBot="1">
      <c r="B107" s="16">
        <v>91</v>
      </c>
      <c r="C107" s="26" t="s">
        <v>153</v>
      </c>
      <c r="D107" s="26" t="s">
        <v>63</v>
      </c>
      <c r="E107" s="26">
        <v>32</v>
      </c>
      <c r="F107" s="26">
        <v>100</v>
      </c>
      <c r="G107" s="26">
        <v>51</v>
      </c>
      <c r="H107" s="26">
        <v>200</v>
      </c>
    </row>
    <row r="108" spans="2:8" ht="15" thickBot="1">
      <c r="B108" s="16">
        <v>92</v>
      </c>
      <c r="C108" s="26" t="s">
        <v>154</v>
      </c>
      <c r="D108" s="26" t="s">
        <v>66</v>
      </c>
      <c r="E108" s="26">
        <v>35</v>
      </c>
      <c r="F108" s="26">
        <v>150</v>
      </c>
      <c r="G108" s="26">
        <v>56</v>
      </c>
      <c r="H108" s="26">
        <v>300</v>
      </c>
    </row>
    <row r="109" spans="2:8" ht="15" thickBot="1">
      <c r="B109" s="16">
        <v>93</v>
      </c>
      <c r="C109" s="26" t="s">
        <v>155</v>
      </c>
      <c r="D109" s="26" t="s">
        <v>63</v>
      </c>
      <c r="E109" s="26">
        <v>38</v>
      </c>
      <c r="F109" s="26">
        <v>100</v>
      </c>
      <c r="G109" s="26">
        <v>60</v>
      </c>
      <c r="H109" s="26">
        <v>200</v>
      </c>
    </row>
    <row r="110" spans="2:8" ht="15" thickBot="1">
      <c r="B110" s="16">
        <v>94</v>
      </c>
      <c r="C110" s="26" t="s">
        <v>156</v>
      </c>
      <c r="D110" s="26" t="s">
        <v>63</v>
      </c>
      <c r="E110" s="26">
        <v>32</v>
      </c>
      <c r="F110" s="26">
        <v>100</v>
      </c>
      <c r="G110" s="26">
        <v>51</v>
      </c>
      <c r="H110" s="26">
        <v>200</v>
      </c>
    </row>
    <row r="111" spans="2:8" ht="15" thickBot="1">
      <c r="B111" s="16">
        <v>95</v>
      </c>
      <c r="C111" s="26" t="s">
        <v>157</v>
      </c>
      <c r="D111" s="26" t="s">
        <v>63</v>
      </c>
      <c r="E111" s="26">
        <v>38</v>
      </c>
      <c r="F111" s="26">
        <v>130</v>
      </c>
      <c r="G111" s="26">
        <v>60</v>
      </c>
      <c r="H111" s="26">
        <v>260</v>
      </c>
    </row>
    <row r="112" spans="2:8" ht="15" thickBot="1">
      <c r="B112" s="16">
        <v>96</v>
      </c>
      <c r="C112" s="26" t="s">
        <v>158</v>
      </c>
      <c r="D112" s="26" t="s">
        <v>66</v>
      </c>
      <c r="E112" s="26">
        <v>35</v>
      </c>
      <c r="F112" s="26">
        <v>150</v>
      </c>
      <c r="G112" s="26">
        <v>56</v>
      </c>
      <c r="H112" s="26">
        <v>300</v>
      </c>
    </row>
    <row r="113" spans="2:8" ht="15" thickBot="1">
      <c r="B113" s="16">
        <v>97</v>
      </c>
      <c r="C113" s="26" t="s">
        <v>159</v>
      </c>
      <c r="D113" s="26" t="s">
        <v>66</v>
      </c>
      <c r="E113" s="26">
        <v>35</v>
      </c>
      <c r="F113" s="26">
        <v>150</v>
      </c>
      <c r="G113" s="26">
        <v>56</v>
      </c>
      <c r="H113" s="26">
        <v>300</v>
      </c>
    </row>
    <row r="114" spans="2:8" ht="15" thickBot="1">
      <c r="B114" s="16">
        <v>98</v>
      </c>
      <c r="C114" s="26" t="s">
        <v>160</v>
      </c>
      <c r="D114" s="26" t="s">
        <v>66</v>
      </c>
      <c r="E114" s="26">
        <v>32</v>
      </c>
      <c r="F114" s="26">
        <v>100</v>
      </c>
      <c r="G114" s="26">
        <v>51</v>
      </c>
      <c r="H114" s="26">
        <v>200</v>
      </c>
    </row>
    <row r="115" spans="2:8" ht="15" thickBot="1">
      <c r="B115" s="16">
        <v>99</v>
      </c>
      <c r="C115" s="26" t="s">
        <v>161</v>
      </c>
      <c r="D115" s="26" t="s">
        <v>63</v>
      </c>
      <c r="E115" s="26">
        <v>32</v>
      </c>
      <c r="F115" s="26">
        <v>100</v>
      </c>
      <c r="G115" s="26">
        <v>51</v>
      </c>
      <c r="H115" s="26">
        <v>200</v>
      </c>
    </row>
    <row r="116" spans="2:8" ht="15" thickBot="1">
      <c r="B116" s="16">
        <v>100</v>
      </c>
      <c r="C116" s="26" t="s">
        <v>162</v>
      </c>
      <c r="D116" s="26" t="s">
        <v>63</v>
      </c>
      <c r="E116" s="26">
        <v>32</v>
      </c>
      <c r="F116" s="26">
        <v>110</v>
      </c>
      <c r="G116" s="26">
        <v>51</v>
      </c>
      <c r="H116" s="26">
        <v>220</v>
      </c>
    </row>
    <row r="117" spans="2:8" ht="15" thickBot="1">
      <c r="B117" s="16">
        <v>101</v>
      </c>
      <c r="C117" s="26" t="s">
        <v>163</v>
      </c>
      <c r="D117" s="26" t="s">
        <v>63</v>
      </c>
      <c r="E117" s="26">
        <v>32</v>
      </c>
      <c r="F117" s="26">
        <v>100</v>
      </c>
      <c r="G117" s="26">
        <v>51</v>
      </c>
      <c r="H117" s="26">
        <v>200</v>
      </c>
    </row>
    <row r="118" spans="2:8" ht="15" thickBot="1">
      <c r="B118" s="16">
        <v>102</v>
      </c>
      <c r="C118" s="26" t="s">
        <v>164</v>
      </c>
      <c r="D118" s="26" t="s">
        <v>66</v>
      </c>
      <c r="E118" s="26">
        <v>35</v>
      </c>
      <c r="F118" s="26">
        <v>150</v>
      </c>
      <c r="G118" s="26">
        <v>56</v>
      </c>
      <c r="H118" s="26">
        <v>300</v>
      </c>
    </row>
    <row r="119" spans="2:8" ht="15" thickBot="1">
      <c r="B119" s="16">
        <v>103</v>
      </c>
      <c r="C119" s="26" t="s">
        <v>165</v>
      </c>
      <c r="D119" s="26" t="s">
        <v>63</v>
      </c>
      <c r="E119" s="26">
        <v>32</v>
      </c>
      <c r="F119" s="26">
        <v>120</v>
      </c>
      <c r="G119" s="26">
        <v>51</v>
      </c>
      <c r="H119" s="26">
        <v>240</v>
      </c>
    </row>
    <row r="120" spans="2:8" ht="15" thickBot="1">
      <c r="B120" s="16">
        <v>104</v>
      </c>
      <c r="C120" s="26" t="s">
        <v>166</v>
      </c>
      <c r="D120" s="26" t="s">
        <v>63</v>
      </c>
      <c r="E120" s="26">
        <v>32</v>
      </c>
      <c r="F120" s="26">
        <v>100</v>
      </c>
      <c r="G120" s="26">
        <v>51</v>
      </c>
      <c r="H120" s="26">
        <v>200</v>
      </c>
    </row>
    <row r="121" spans="2:8" ht="15" thickBot="1">
      <c r="B121" s="16">
        <v>105</v>
      </c>
      <c r="C121" s="26" t="s">
        <v>167</v>
      </c>
      <c r="D121" s="26" t="s">
        <v>63</v>
      </c>
      <c r="E121" s="26">
        <v>32</v>
      </c>
      <c r="F121" s="26">
        <v>110</v>
      </c>
      <c r="G121" s="26">
        <v>51</v>
      </c>
      <c r="H121" s="26">
        <v>220</v>
      </c>
    </row>
    <row r="122" spans="2:8" ht="15" thickBot="1">
      <c r="B122" s="16">
        <v>106</v>
      </c>
      <c r="C122" s="26" t="s">
        <v>168</v>
      </c>
      <c r="D122" s="26" t="s">
        <v>63</v>
      </c>
      <c r="E122" s="26">
        <v>38</v>
      </c>
      <c r="F122" s="26">
        <v>110</v>
      </c>
      <c r="G122" s="26">
        <v>60</v>
      </c>
      <c r="H122" s="26">
        <v>220</v>
      </c>
    </row>
    <row r="123" spans="2:8" ht="15" thickBot="1">
      <c r="B123" s="16">
        <v>107</v>
      </c>
      <c r="C123" s="26" t="s">
        <v>169</v>
      </c>
      <c r="D123" s="26" t="s">
        <v>63</v>
      </c>
      <c r="E123" s="26">
        <v>38</v>
      </c>
      <c r="F123" s="26">
        <v>100</v>
      </c>
      <c r="G123" s="26">
        <v>60</v>
      </c>
      <c r="H123" s="26">
        <v>200</v>
      </c>
    </row>
    <row r="124" spans="2:8" ht="15" thickBot="1">
      <c r="B124" s="16">
        <v>108</v>
      </c>
      <c r="C124" s="26" t="s">
        <v>170</v>
      </c>
      <c r="D124" s="26" t="s">
        <v>63</v>
      </c>
      <c r="E124" s="26">
        <v>38</v>
      </c>
      <c r="F124" s="26">
        <v>110</v>
      </c>
      <c r="G124" s="26">
        <v>60</v>
      </c>
      <c r="H124" s="26">
        <v>220</v>
      </c>
    </row>
    <row r="125" spans="2:8" ht="15" thickBot="1">
      <c r="B125" s="16">
        <v>109</v>
      </c>
      <c r="C125" s="26" t="s">
        <v>171</v>
      </c>
      <c r="D125" s="26" t="s">
        <v>63</v>
      </c>
      <c r="E125" s="26">
        <v>32</v>
      </c>
      <c r="F125" s="26">
        <v>100</v>
      </c>
      <c r="G125" s="26">
        <v>51</v>
      </c>
      <c r="H125" s="26">
        <v>200</v>
      </c>
    </row>
    <row r="126" spans="2:8" ht="15" thickBot="1">
      <c r="B126" s="16">
        <v>110</v>
      </c>
      <c r="C126" s="26" t="s">
        <v>172</v>
      </c>
      <c r="D126" s="26" t="s">
        <v>66</v>
      </c>
      <c r="E126" s="26">
        <v>32</v>
      </c>
      <c r="F126" s="26">
        <v>100</v>
      </c>
      <c r="G126" s="26">
        <v>51</v>
      </c>
      <c r="H126" s="26">
        <v>200</v>
      </c>
    </row>
    <row r="127" spans="2:8" ht="15" thickBot="1">
      <c r="B127" s="16">
        <v>111</v>
      </c>
      <c r="C127" s="26" t="s">
        <v>173</v>
      </c>
      <c r="D127" s="26" t="s">
        <v>63</v>
      </c>
      <c r="E127" s="26">
        <v>32</v>
      </c>
      <c r="F127" s="26">
        <v>100</v>
      </c>
      <c r="G127" s="26">
        <v>51</v>
      </c>
      <c r="H127" s="26">
        <v>200</v>
      </c>
    </row>
    <row r="128" spans="2:8" ht="15" thickBot="1">
      <c r="B128" s="16">
        <v>112</v>
      </c>
      <c r="C128" s="26" t="s">
        <v>174</v>
      </c>
      <c r="D128" s="26" t="s">
        <v>63</v>
      </c>
      <c r="E128" s="26">
        <v>32</v>
      </c>
      <c r="F128" s="26">
        <v>100</v>
      </c>
      <c r="G128" s="26">
        <v>51</v>
      </c>
      <c r="H128" s="26">
        <v>200</v>
      </c>
    </row>
    <row r="129" spans="2:8" ht="15" thickBot="1">
      <c r="B129" s="16">
        <v>113</v>
      </c>
      <c r="C129" s="26" t="s">
        <v>175</v>
      </c>
      <c r="D129" s="26" t="s">
        <v>63</v>
      </c>
      <c r="E129" s="26">
        <v>32</v>
      </c>
      <c r="F129" s="26">
        <v>110</v>
      </c>
      <c r="G129" s="26">
        <v>51</v>
      </c>
      <c r="H129" s="26">
        <v>220</v>
      </c>
    </row>
    <row r="130" spans="2:8" ht="15" thickBot="1">
      <c r="B130" s="16">
        <v>114</v>
      </c>
      <c r="C130" s="26" t="s">
        <v>176</v>
      </c>
      <c r="D130" s="26" t="s">
        <v>63</v>
      </c>
      <c r="E130" s="26">
        <v>32</v>
      </c>
      <c r="F130" s="26">
        <v>110</v>
      </c>
      <c r="G130" s="26">
        <v>51</v>
      </c>
      <c r="H130" s="26">
        <v>220</v>
      </c>
    </row>
    <row r="131" spans="2:8" ht="15" thickBot="1">
      <c r="B131" s="16">
        <v>115</v>
      </c>
      <c r="C131" s="26" t="s">
        <v>177</v>
      </c>
      <c r="D131" s="26" t="s">
        <v>63</v>
      </c>
      <c r="E131" s="26">
        <v>32</v>
      </c>
      <c r="F131" s="26">
        <v>110</v>
      </c>
      <c r="G131" s="26">
        <v>51</v>
      </c>
      <c r="H131" s="26">
        <v>220</v>
      </c>
    </row>
    <row r="132" spans="2:8" ht="15" thickBot="1">
      <c r="B132" s="16">
        <v>116</v>
      </c>
      <c r="C132" s="26" t="s">
        <v>178</v>
      </c>
      <c r="D132" s="26" t="s">
        <v>63</v>
      </c>
      <c r="E132" s="26">
        <v>32</v>
      </c>
      <c r="F132" s="26">
        <v>160</v>
      </c>
      <c r="G132" s="26">
        <v>51</v>
      </c>
      <c r="H132" s="26">
        <v>320</v>
      </c>
    </row>
    <row r="133" spans="2:8" ht="15" thickBot="1">
      <c r="B133" s="16">
        <v>117</v>
      </c>
      <c r="C133" s="26" t="s">
        <v>179</v>
      </c>
      <c r="D133" s="26" t="s">
        <v>66</v>
      </c>
      <c r="E133" s="26">
        <v>35</v>
      </c>
      <c r="F133" s="26">
        <v>150</v>
      </c>
      <c r="G133" s="26">
        <v>56</v>
      </c>
      <c r="H133" s="26">
        <v>300</v>
      </c>
    </row>
    <row r="134" spans="2:8" ht="15" thickBot="1">
      <c r="B134" s="16">
        <v>118</v>
      </c>
      <c r="C134" s="26" t="s">
        <v>180</v>
      </c>
      <c r="D134" s="26" t="s">
        <v>63</v>
      </c>
      <c r="E134" s="26">
        <v>38</v>
      </c>
      <c r="F134" s="26">
        <v>160</v>
      </c>
      <c r="G134" s="26">
        <v>60</v>
      </c>
      <c r="H134" s="26">
        <v>320</v>
      </c>
    </row>
    <row r="135" spans="2:8" ht="15" thickBot="1">
      <c r="B135" s="16">
        <v>119</v>
      </c>
      <c r="C135" s="26" t="s">
        <v>181</v>
      </c>
      <c r="D135" s="26" t="s">
        <v>66</v>
      </c>
      <c r="E135" s="26">
        <v>35</v>
      </c>
      <c r="F135" s="26">
        <v>150</v>
      </c>
      <c r="G135" s="26">
        <v>56</v>
      </c>
      <c r="H135" s="26">
        <v>300</v>
      </c>
    </row>
    <row r="136" spans="2:8" ht="15" thickBot="1">
      <c r="B136" s="16">
        <v>120</v>
      </c>
      <c r="C136" s="26" t="s">
        <v>182</v>
      </c>
      <c r="D136" s="26" t="s">
        <v>63</v>
      </c>
      <c r="E136" s="26">
        <v>38</v>
      </c>
      <c r="F136" s="26">
        <v>100</v>
      </c>
      <c r="G136" s="26">
        <v>60</v>
      </c>
      <c r="H136" s="26">
        <v>200</v>
      </c>
    </row>
    <row r="137" spans="2:8" ht="15" thickBot="1">
      <c r="B137" s="16">
        <v>121</v>
      </c>
      <c r="C137" s="26" t="s">
        <v>183</v>
      </c>
      <c r="D137" s="26" t="s">
        <v>63</v>
      </c>
      <c r="E137" s="26">
        <v>32</v>
      </c>
      <c r="F137" s="26">
        <v>140</v>
      </c>
      <c r="G137" s="26">
        <v>51</v>
      </c>
      <c r="H137" s="26">
        <v>280</v>
      </c>
    </row>
    <row r="138" spans="2:8" ht="15" thickBot="1">
      <c r="B138" s="16">
        <v>122</v>
      </c>
      <c r="C138" s="26" t="s">
        <v>184</v>
      </c>
      <c r="D138" s="26" t="s">
        <v>63</v>
      </c>
      <c r="E138" s="26">
        <v>32</v>
      </c>
      <c r="F138" s="26">
        <v>110</v>
      </c>
      <c r="G138" s="26">
        <v>51</v>
      </c>
      <c r="H138" s="26">
        <v>220</v>
      </c>
    </row>
    <row r="139" spans="2:8" ht="15" thickBot="1">
      <c r="B139" s="16">
        <v>123</v>
      </c>
      <c r="C139" s="26" t="s">
        <v>185</v>
      </c>
      <c r="D139" s="26" t="s">
        <v>63</v>
      </c>
      <c r="E139" s="26">
        <v>32</v>
      </c>
      <c r="F139" s="26">
        <v>100</v>
      </c>
      <c r="G139" s="26">
        <v>51</v>
      </c>
      <c r="H139" s="26">
        <v>200</v>
      </c>
    </row>
    <row r="140" spans="2:8" ht="15" thickBot="1">
      <c r="B140" s="16">
        <v>124</v>
      </c>
      <c r="C140" s="26" t="s">
        <v>186</v>
      </c>
      <c r="D140" s="26" t="s">
        <v>63</v>
      </c>
      <c r="E140" s="26">
        <v>32</v>
      </c>
      <c r="F140" s="26">
        <v>100</v>
      </c>
      <c r="G140" s="26">
        <v>51</v>
      </c>
      <c r="H140" s="26">
        <v>200</v>
      </c>
    </row>
    <row r="141" spans="2:8" ht="15" thickBot="1">
      <c r="B141" s="16">
        <v>125</v>
      </c>
      <c r="C141" s="26" t="s">
        <v>187</v>
      </c>
      <c r="D141" s="26" t="s">
        <v>63</v>
      </c>
      <c r="E141" s="26">
        <v>32</v>
      </c>
      <c r="F141" s="26">
        <v>110</v>
      </c>
      <c r="G141" s="26">
        <v>51</v>
      </c>
      <c r="H141" s="26">
        <v>220</v>
      </c>
    </row>
    <row r="142" spans="2:8" ht="15" thickBot="1">
      <c r="B142" s="16">
        <v>126</v>
      </c>
      <c r="C142" s="26" t="s">
        <v>188</v>
      </c>
      <c r="D142" s="26" t="s">
        <v>66</v>
      </c>
      <c r="E142" s="26">
        <v>35</v>
      </c>
      <c r="F142" s="26">
        <v>150</v>
      </c>
      <c r="G142" s="26">
        <v>56</v>
      </c>
      <c r="H142" s="26">
        <v>300</v>
      </c>
    </row>
    <row r="143" spans="2:8" ht="15" thickBot="1">
      <c r="B143" s="16">
        <v>127</v>
      </c>
      <c r="C143" s="26" t="s">
        <v>189</v>
      </c>
      <c r="D143" s="26" t="s">
        <v>66</v>
      </c>
      <c r="E143" s="26">
        <v>35</v>
      </c>
      <c r="F143" s="26">
        <v>150</v>
      </c>
      <c r="G143" s="26">
        <v>56</v>
      </c>
      <c r="H143" s="26">
        <v>300</v>
      </c>
    </row>
    <row r="144" spans="2:8" ht="15" thickBot="1">
      <c r="B144" s="16">
        <v>128</v>
      </c>
      <c r="C144" s="26" t="s">
        <v>190</v>
      </c>
      <c r="D144" s="26" t="s">
        <v>63</v>
      </c>
      <c r="E144" s="26">
        <v>38</v>
      </c>
      <c r="F144" s="26">
        <v>140</v>
      </c>
      <c r="G144" s="26">
        <v>60</v>
      </c>
      <c r="H144" s="26">
        <v>280</v>
      </c>
    </row>
    <row r="145" spans="2:8" ht="15" thickBot="1">
      <c r="B145" s="27"/>
      <c r="C145" s="28" t="s">
        <v>239</v>
      </c>
      <c r="D145" s="28"/>
      <c r="E145" s="28"/>
      <c r="F145" s="28"/>
      <c r="G145" s="28"/>
      <c r="H145" s="28"/>
    </row>
    <row r="146" spans="2:8" ht="15" thickBot="1">
      <c r="B146" s="16">
        <v>129</v>
      </c>
      <c r="C146" s="26" t="s">
        <v>191</v>
      </c>
      <c r="D146" s="26" t="s">
        <v>63</v>
      </c>
      <c r="E146" s="26">
        <v>32</v>
      </c>
      <c r="F146" s="26">
        <v>100</v>
      </c>
      <c r="G146" s="26">
        <v>51</v>
      </c>
      <c r="H146" s="26">
        <v>200</v>
      </c>
    </row>
    <row r="147" spans="2:8" ht="15" thickBot="1">
      <c r="B147" s="16">
        <v>130</v>
      </c>
      <c r="C147" s="26" t="s">
        <v>205</v>
      </c>
      <c r="D147" s="26" t="s">
        <v>63</v>
      </c>
      <c r="E147" s="26">
        <v>53</v>
      </c>
      <c r="F147" s="26">
        <v>210</v>
      </c>
      <c r="G147" s="26">
        <v>84</v>
      </c>
      <c r="H147" s="26">
        <v>420</v>
      </c>
    </row>
    <row r="148" spans="2:8" ht="15" thickBot="1">
      <c r="B148" s="16">
        <v>131</v>
      </c>
      <c r="C148" s="26" t="s">
        <v>193</v>
      </c>
      <c r="D148" s="26" t="s">
        <v>63</v>
      </c>
      <c r="E148" s="26">
        <v>32</v>
      </c>
      <c r="F148" s="26">
        <v>100</v>
      </c>
      <c r="G148" s="26">
        <v>51</v>
      </c>
      <c r="H148" s="26">
        <v>200</v>
      </c>
    </row>
    <row r="149" spans="2:8" ht="15" thickBot="1">
      <c r="B149" s="16">
        <v>132</v>
      </c>
      <c r="C149" s="26" t="s">
        <v>195</v>
      </c>
      <c r="D149" s="26" t="s">
        <v>66</v>
      </c>
      <c r="E149" s="26">
        <v>35</v>
      </c>
      <c r="F149" s="26">
        <v>150</v>
      </c>
      <c r="G149" s="26">
        <v>56</v>
      </c>
      <c r="H149" s="26">
        <v>300</v>
      </c>
    </row>
    <row r="150" spans="2:8" ht="15" thickBot="1">
      <c r="B150" s="16">
        <v>133</v>
      </c>
      <c r="C150" s="26" t="s">
        <v>194</v>
      </c>
      <c r="D150" s="26" t="s">
        <v>63</v>
      </c>
      <c r="E150" s="26">
        <v>32</v>
      </c>
      <c r="F150" s="26">
        <v>100</v>
      </c>
      <c r="G150" s="26">
        <v>51</v>
      </c>
      <c r="H150" s="26">
        <v>200</v>
      </c>
    </row>
    <row r="151" spans="2:8" ht="15" thickBot="1">
      <c r="B151" s="16">
        <v>134</v>
      </c>
      <c r="C151" s="26" t="s">
        <v>196</v>
      </c>
      <c r="D151" s="26" t="s">
        <v>63</v>
      </c>
      <c r="E151" s="26">
        <v>32</v>
      </c>
      <c r="F151" s="26">
        <v>100</v>
      </c>
      <c r="G151" s="26">
        <v>51</v>
      </c>
      <c r="H151" s="26">
        <v>200</v>
      </c>
    </row>
    <row r="152" spans="2:8" ht="15" thickBot="1">
      <c r="B152" s="16">
        <v>135</v>
      </c>
      <c r="C152" s="26" t="s">
        <v>197</v>
      </c>
      <c r="D152" s="26" t="s">
        <v>66</v>
      </c>
      <c r="E152" s="26">
        <v>32</v>
      </c>
      <c r="F152" s="26">
        <v>100</v>
      </c>
      <c r="G152" s="26">
        <v>51</v>
      </c>
      <c r="H152" s="26">
        <v>200</v>
      </c>
    </row>
    <row r="153" spans="2:8" ht="15" thickBot="1">
      <c r="B153" s="16">
        <v>136</v>
      </c>
      <c r="C153" s="26" t="s">
        <v>198</v>
      </c>
      <c r="D153" s="26" t="s">
        <v>63</v>
      </c>
      <c r="E153" s="26">
        <v>32</v>
      </c>
      <c r="F153" s="26">
        <v>100</v>
      </c>
      <c r="G153" s="26">
        <v>51</v>
      </c>
      <c r="H153" s="26">
        <v>200</v>
      </c>
    </row>
    <row r="154" spans="2:8" ht="15" thickBot="1">
      <c r="B154" s="16">
        <v>137</v>
      </c>
      <c r="C154" s="26" t="s">
        <v>199</v>
      </c>
      <c r="D154" s="26" t="s">
        <v>63</v>
      </c>
      <c r="E154" s="26">
        <v>38</v>
      </c>
      <c r="F154" s="26">
        <v>150</v>
      </c>
      <c r="G154" s="26">
        <v>60</v>
      </c>
      <c r="H154" s="26">
        <v>300</v>
      </c>
    </row>
    <row r="155" spans="2:8" ht="15" thickBot="1">
      <c r="B155" s="16">
        <v>138</v>
      </c>
      <c r="C155" s="26" t="s">
        <v>200</v>
      </c>
      <c r="D155" s="26" t="s">
        <v>63</v>
      </c>
      <c r="E155" s="26">
        <v>38</v>
      </c>
      <c r="F155" s="26">
        <v>100</v>
      </c>
      <c r="G155" s="26">
        <v>60</v>
      </c>
      <c r="H155" s="26">
        <v>200</v>
      </c>
    </row>
    <row r="156" spans="2:8" ht="15" thickBot="1">
      <c r="B156" s="16">
        <v>139</v>
      </c>
      <c r="C156" s="26" t="s">
        <v>201</v>
      </c>
      <c r="D156" s="26" t="s">
        <v>66</v>
      </c>
      <c r="E156" s="26">
        <v>35</v>
      </c>
      <c r="F156" s="26">
        <v>150</v>
      </c>
      <c r="G156" s="26">
        <v>56</v>
      </c>
      <c r="H156" s="26">
        <v>300</v>
      </c>
    </row>
    <row r="157" spans="2:8" ht="15" thickBot="1">
      <c r="B157" s="16">
        <v>140</v>
      </c>
      <c r="C157" s="26" t="s">
        <v>202</v>
      </c>
      <c r="D157" s="26" t="s">
        <v>66</v>
      </c>
      <c r="E157" s="26">
        <v>35</v>
      </c>
      <c r="F157" s="26">
        <v>150</v>
      </c>
      <c r="G157" s="26">
        <v>56</v>
      </c>
      <c r="H157" s="26">
        <v>300</v>
      </c>
    </row>
    <row r="158" spans="2:8" ht="15" thickBot="1">
      <c r="B158" s="16">
        <v>141</v>
      </c>
      <c r="C158" s="26" t="s">
        <v>203</v>
      </c>
      <c r="D158" s="26" t="s">
        <v>63</v>
      </c>
      <c r="E158" s="26">
        <v>32</v>
      </c>
      <c r="F158" s="26">
        <v>100</v>
      </c>
      <c r="G158" s="26">
        <v>51</v>
      </c>
      <c r="H158" s="26">
        <v>200</v>
      </c>
    </row>
    <row r="159" spans="2:8" ht="15" thickBot="1">
      <c r="B159" s="16">
        <v>142</v>
      </c>
      <c r="C159" s="26" t="s">
        <v>49</v>
      </c>
      <c r="D159" s="26" t="s">
        <v>66</v>
      </c>
      <c r="E159" s="26">
        <v>35</v>
      </c>
      <c r="F159" s="26">
        <v>150</v>
      </c>
      <c r="G159" s="26">
        <v>56</v>
      </c>
      <c r="H159" s="26">
        <v>300</v>
      </c>
    </row>
    <row r="160" spans="2:8" ht="15" thickBot="1">
      <c r="B160" s="16">
        <v>143</v>
      </c>
      <c r="C160" s="26" t="s">
        <v>204</v>
      </c>
      <c r="D160" s="26" t="s">
        <v>63</v>
      </c>
      <c r="E160" s="26">
        <v>38</v>
      </c>
      <c r="F160" s="26">
        <v>110</v>
      </c>
      <c r="G160" s="26">
        <v>60</v>
      </c>
      <c r="H160" s="26">
        <v>220</v>
      </c>
    </row>
    <row r="161" spans="2:8" ht="15" thickBot="1">
      <c r="B161" s="16">
        <v>144</v>
      </c>
      <c r="C161" s="26" t="s">
        <v>206</v>
      </c>
      <c r="D161" s="26" t="s">
        <v>63</v>
      </c>
      <c r="E161" s="26">
        <v>32</v>
      </c>
      <c r="F161" s="26">
        <v>110</v>
      </c>
      <c r="G161" s="26">
        <v>51</v>
      </c>
      <c r="H161" s="26">
        <v>220</v>
      </c>
    </row>
    <row r="162" spans="2:8" ht="15" thickBot="1">
      <c r="B162" s="16">
        <v>145</v>
      </c>
      <c r="C162" s="26" t="s">
        <v>207</v>
      </c>
      <c r="D162" s="26" t="s">
        <v>66</v>
      </c>
      <c r="E162" s="26">
        <v>35</v>
      </c>
      <c r="F162" s="26">
        <v>150</v>
      </c>
      <c r="G162" s="26">
        <v>56</v>
      </c>
      <c r="H162" s="26">
        <v>300</v>
      </c>
    </row>
    <row r="163" spans="2:8" ht="15" thickBot="1">
      <c r="B163" s="16">
        <v>146</v>
      </c>
      <c r="C163" s="26" t="s">
        <v>208</v>
      </c>
      <c r="D163" s="26" t="s">
        <v>63</v>
      </c>
      <c r="E163" s="26">
        <v>32</v>
      </c>
      <c r="F163" s="26">
        <v>110</v>
      </c>
      <c r="G163" s="26">
        <v>51</v>
      </c>
      <c r="H163" s="26">
        <v>220</v>
      </c>
    </row>
    <row r="164" spans="2:8" ht="15" thickBot="1">
      <c r="B164" s="16">
        <v>147</v>
      </c>
      <c r="C164" s="26" t="s">
        <v>209</v>
      </c>
      <c r="D164" s="26" t="s">
        <v>63</v>
      </c>
      <c r="E164" s="26">
        <v>38</v>
      </c>
      <c r="F164" s="26">
        <v>100</v>
      </c>
      <c r="G164" s="26">
        <v>60</v>
      </c>
      <c r="H164" s="26">
        <v>200</v>
      </c>
    </row>
    <row r="165" spans="2:8" ht="15" thickBot="1">
      <c r="B165" s="16">
        <v>148</v>
      </c>
      <c r="C165" s="26" t="s">
        <v>211</v>
      </c>
      <c r="D165" s="26" t="s">
        <v>63</v>
      </c>
      <c r="E165" s="26">
        <v>38</v>
      </c>
      <c r="F165" s="26">
        <v>110</v>
      </c>
      <c r="G165" s="26">
        <v>60</v>
      </c>
      <c r="H165" s="26">
        <v>220</v>
      </c>
    </row>
    <row r="166" spans="2:8" ht="15" thickBot="1">
      <c r="B166" s="16">
        <v>149</v>
      </c>
      <c r="C166" s="26" t="s">
        <v>210</v>
      </c>
      <c r="D166" s="26" t="s">
        <v>63</v>
      </c>
      <c r="E166" s="26">
        <v>32</v>
      </c>
      <c r="F166" s="26">
        <v>100</v>
      </c>
      <c r="G166" s="26">
        <v>51</v>
      </c>
      <c r="H166" s="26">
        <v>200</v>
      </c>
    </row>
    <row r="167" spans="2:8" ht="15" thickBot="1">
      <c r="B167" s="16">
        <v>150</v>
      </c>
      <c r="C167" s="26" t="s">
        <v>212</v>
      </c>
      <c r="D167" s="26" t="s">
        <v>63</v>
      </c>
      <c r="E167" s="26">
        <v>38</v>
      </c>
      <c r="F167" s="26">
        <v>100</v>
      </c>
      <c r="G167" s="26">
        <v>60</v>
      </c>
      <c r="H167" s="26">
        <v>200</v>
      </c>
    </row>
    <row r="168" spans="2:8" ht="15" thickBot="1">
      <c r="B168" s="16">
        <v>151</v>
      </c>
      <c r="C168" s="26" t="s">
        <v>213</v>
      </c>
      <c r="D168" s="26" t="s">
        <v>63</v>
      </c>
      <c r="E168" s="26">
        <v>32</v>
      </c>
      <c r="F168" s="26">
        <v>100</v>
      </c>
      <c r="G168" s="26">
        <v>51</v>
      </c>
      <c r="H168" s="26">
        <v>200</v>
      </c>
    </row>
    <row r="169" spans="2:8" ht="15" thickBot="1">
      <c r="B169" s="16">
        <v>152</v>
      </c>
      <c r="C169" s="26" t="s">
        <v>214</v>
      </c>
      <c r="D169" s="26" t="s">
        <v>63</v>
      </c>
      <c r="E169" s="26">
        <v>32</v>
      </c>
      <c r="F169" s="26">
        <v>100</v>
      </c>
      <c r="G169" s="26">
        <v>51</v>
      </c>
      <c r="H169" s="26">
        <v>200</v>
      </c>
    </row>
    <row r="170" spans="2:8" ht="15" thickBot="1">
      <c r="B170" s="16">
        <v>153</v>
      </c>
      <c r="C170" s="26" t="s">
        <v>215</v>
      </c>
      <c r="D170" s="26" t="s">
        <v>63</v>
      </c>
      <c r="E170" s="26">
        <v>38</v>
      </c>
      <c r="F170" s="26">
        <v>140</v>
      </c>
      <c r="G170" s="26">
        <v>60</v>
      </c>
      <c r="H170" s="26">
        <v>280</v>
      </c>
    </row>
    <row r="171" spans="2:8" ht="15" thickBot="1">
      <c r="B171" s="16">
        <v>154</v>
      </c>
      <c r="C171" s="26" t="s">
        <v>216</v>
      </c>
      <c r="D171" s="26" t="s">
        <v>63</v>
      </c>
      <c r="E171" s="26">
        <v>38</v>
      </c>
      <c r="F171" s="26">
        <v>110</v>
      </c>
      <c r="G171" s="26">
        <v>60</v>
      </c>
      <c r="H171" s="26">
        <v>220</v>
      </c>
    </row>
    <row r="172" spans="2:8" ht="15" thickBot="1">
      <c r="B172" s="16">
        <v>155</v>
      </c>
      <c r="C172" s="26" t="s">
        <v>217</v>
      </c>
      <c r="D172" s="26" t="s">
        <v>63</v>
      </c>
      <c r="E172" s="26">
        <v>38</v>
      </c>
      <c r="F172" s="26">
        <v>150</v>
      </c>
      <c r="G172" s="26">
        <v>60</v>
      </c>
      <c r="H172" s="26">
        <v>300</v>
      </c>
    </row>
    <row r="173" spans="2:8" ht="15" thickBot="1">
      <c r="B173" s="16">
        <v>156</v>
      </c>
      <c r="C173" s="26" t="s">
        <v>218</v>
      </c>
      <c r="D173" s="26" t="s">
        <v>63</v>
      </c>
      <c r="E173" s="26">
        <v>32</v>
      </c>
      <c r="F173" s="26">
        <v>100</v>
      </c>
      <c r="G173" s="26">
        <v>51</v>
      </c>
      <c r="H173" s="26">
        <v>200</v>
      </c>
    </row>
    <row r="174" spans="2:8" ht="15" thickBot="1">
      <c r="B174" s="16">
        <v>157</v>
      </c>
      <c r="C174" s="26" t="s">
        <v>219</v>
      </c>
      <c r="D174" s="26" t="s">
        <v>66</v>
      </c>
      <c r="E174" s="26">
        <v>35</v>
      </c>
      <c r="F174" s="26">
        <v>150</v>
      </c>
      <c r="G174" s="26">
        <v>56</v>
      </c>
      <c r="H174" s="26">
        <v>300</v>
      </c>
    </row>
    <row r="175" spans="2:8" ht="15" thickBot="1">
      <c r="B175" s="16">
        <v>158</v>
      </c>
      <c r="C175" s="26" t="s">
        <v>220</v>
      </c>
      <c r="D175" s="26" t="s">
        <v>63</v>
      </c>
      <c r="E175" s="26">
        <v>32</v>
      </c>
      <c r="F175" s="26">
        <v>100</v>
      </c>
      <c r="G175" s="26">
        <v>51</v>
      </c>
      <c r="H175" s="26">
        <v>200</v>
      </c>
    </row>
    <row r="176" spans="2:8" ht="15" thickBot="1">
      <c r="B176" s="16">
        <v>159</v>
      </c>
      <c r="C176" s="26" t="s">
        <v>221</v>
      </c>
      <c r="D176" s="26" t="s">
        <v>63</v>
      </c>
      <c r="E176" s="26">
        <v>38</v>
      </c>
      <c r="F176" s="26">
        <v>100</v>
      </c>
      <c r="G176" s="26">
        <v>60</v>
      </c>
      <c r="H176" s="26">
        <v>200</v>
      </c>
    </row>
    <row r="177" spans="2:8" ht="15" thickBot="1">
      <c r="B177" s="16">
        <v>160</v>
      </c>
      <c r="C177" s="26" t="s">
        <v>222</v>
      </c>
      <c r="D177" s="26" t="s">
        <v>66</v>
      </c>
      <c r="E177" s="26">
        <v>35</v>
      </c>
      <c r="F177" s="26">
        <v>150</v>
      </c>
      <c r="G177" s="26">
        <v>56</v>
      </c>
      <c r="H177" s="26">
        <v>300</v>
      </c>
    </row>
    <row r="178" spans="2:8" ht="15" thickBot="1">
      <c r="B178" s="16">
        <v>161</v>
      </c>
      <c r="C178" s="26" t="s">
        <v>223</v>
      </c>
      <c r="D178" s="26" t="s">
        <v>63</v>
      </c>
      <c r="E178" s="26">
        <v>32</v>
      </c>
      <c r="F178" s="26">
        <v>130</v>
      </c>
      <c r="G178" s="26">
        <v>51</v>
      </c>
      <c r="H178" s="26">
        <v>260</v>
      </c>
    </row>
    <row r="179" spans="2:8" ht="15" thickBot="1">
      <c r="B179" s="16">
        <v>162</v>
      </c>
      <c r="C179" s="26" t="s">
        <v>224</v>
      </c>
      <c r="D179" s="26" t="s">
        <v>63</v>
      </c>
      <c r="E179" s="26">
        <v>32</v>
      </c>
      <c r="F179" s="26">
        <v>120</v>
      </c>
      <c r="G179" s="26">
        <v>51</v>
      </c>
      <c r="H179" s="26">
        <v>240</v>
      </c>
    </row>
    <row r="180" spans="2:8" ht="15" thickBot="1">
      <c r="B180" s="16">
        <v>163</v>
      </c>
      <c r="C180" s="26" t="s">
        <v>225</v>
      </c>
      <c r="D180" s="26" t="s">
        <v>63</v>
      </c>
      <c r="E180" s="26">
        <v>38</v>
      </c>
      <c r="F180" s="26">
        <v>110</v>
      </c>
      <c r="G180" s="26">
        <v>60</v>
      </c>
      <c r="H180" s="26">
        <v>220</v>
      </c>
    </row>
    <row r="181" spans="2:8" ht="15" thickBot="1">
      <c r="B181" s="16">
        <v>164</v>
      </c>
      <c r="C181" s="26" t="s">
        <v>226</v>
      </c>
      <c r="D181" s="26" t="s">
        <v>63</v>
      </c>
      <c r="E181" s="26">
        <v>32</v>
      </c>
      <c r="F181" s="26">
        <v>100</v>
      </c>
      <c r="G181" s="26">
        <v>51</v>
      </c>
      <c r="H181" s="26">
        <v>200</v>
      </c>
    </row>
    <row r="182" spans="2:8" ht="15" thickBot="1">
      <c r="B182" s="16">
        <v>165</v>
      </c>
      <c r="C182" s="26" t="s">
        <v>227</v>
      </c>
      <c r="D182" s="26" t="s">
        <v>63</v>
      </c>
      <c r="E182" s="26">
        <v>32</v>
      </c>
      <c r="F182" s="26">
        <v>100</v>
      </c>
      <c r="G182" s="26">
        <v>51</v>
      </c>
      <c r="H182" s="26">
        <v>200</v>
      </c>
    </row>
    <row r="183" spans="2:8" ht="15" thickBot="1">
      <c r="B183" s="16">
        <v>166</v>
      </c>
      <c r="C183" s="26" t="s">
        <v>228</v>
      </c>
      <c r="D183" s="26" t="s">
        <v>63</v>
      </c>
      <c r="E183" s="26">
        <v>32</v>
      </c>
      <c r="F183" s="26">
        <v>120</v>
      </c>
      <c r="G183" s="26">
        <v>51</v>
      </c>
      <c r="H183" s="26">
        <v>240</v>
      </c>
    </row>
    <row r="213" spans="3:3">
      <c r="C213" s="21" t="s">
        <v>10</v>
      </c>
    </row>
    <row r="214" spans="3:3">
      <c r="C214" s="5" t="s">
        <v>21</v>
      </c>
    </row>
    <row r="215" spans="3:3">
      <c r="C215" s="5" t="s">
        <v>11</v>
      </c>
    </row>
    <row r="216" spans="3:3">
      <c r="C216" s="5" t="s">
        <v>12</v>
      </c>
    </row>
    <row r="217" spans="3:3">
      <c r="C217" s="5" t="s">
        <v>20</v>
      </c>
    </row>
  </sheetData>
  <sortState xmlns:xlrd2="http://schemas.microsoft.com/office/spreadsheetml/2017/richdata2" ref="L14:N47">
    <sortCondition ref="L14:L47"/>
  </sortState>
  <mergeCells count="4">
    <mergeCell ref="B12:B14"/>
    <mergeCell ref="C12:C14"/>
    <mergeCell ref="D12:D14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CC69-9A98-49E3-B9C8-0D8AC0F9610C}">
  <dimension ref="B1:G39"/>
  <sheetViews>
    <sheetView topLeftCell="A30" zoomScale="130" zoomScaleNormal="130" workbookViewId="0">
      <selection activeCell="D42" sqref="D42"/>
    </sheetView>
  </sheetViews>
  <sheetFormatPr defaultRowHeight="14.4"/>
  <cols>
    <col min="2" max="2" width="45.77734375" customWidth="1"/>
    <col min="3" max="5" width="18.88671875" customWidth="1"/>
    <col min="7" max="7" width="15.6640625" bestFit="1" customWidth="1"/>
  </cols>
  <sheetData>
    <row r="1" spans="2:7">
      <c r="B1" s="30"/>
      <c r="C1" s="52" t="s">
        <v>45</v>
      </c>
      <c r="D1" s="52" t="s">
        <v>247</v>
      </c>
      <c r="E1" s="52" t="s">
        <v>315</v>
      </c>
    </row>
    <row r="2" spans="2:7" ht="28.8">
      <c r="B2" s="29" t="s">
        <v>301</v>
      </c>
      <c r="C2" s="4">
        <v>265</v>
      </c>
      <c r="D2" s="4">
        <f t="shared" ref="D2:E5" si="0">C2</f>
        <v>265</v>
      </c>
      <c r="E2" s="4">
        <f t="shared" si="0"/>
        <v>265</v>
      </c>
    </row>
    <row r="3" spans="2:7" ht="28.8">
      <c r="B3" s="29" t="s">
        <v>302</v>
      </c>
      <c r="C3" s="4">
        <v>23</v>
      </c>
      <c r="D3" s="4">
        <f t="shared" si="0"/>
        <v>23</v>
      </c>
      <c r="E3" s="4">
        <f t="shared" si="0"/>
        <v>23</v>
      </c>
    </row>
    <row r="4" spans="2:7">
      <c r="B4" s="29" t="s">
        <v>249</v>
      </c>
      <c r="C4" s="6" t="str">
        <f>IF('Date generale'!C22&lt;&gt;"",'Date generale'!C22,"Romania")</f>
        <v>Romania</v>
      </c>
      <c r="D4" s="6" t="str">
        <f t="shared" si="0"/>
        <v>Romania</v>
      </c>
      <c r="E4" s="6" t="str">
        <f t="shared" si="0"/>
        <v>Romania</v>
      </c>
    </row>
    <row r="5" spans="2:7">
      <c r="B5" s="3" t="s">
        <v>264</v>
      </c>
      <c r="C5" s="116">
        <f>IF('Date generale'!C20="DA",VLOOKUP($C$4,Liste!C17:H183,2),"Nu este cazul")</f>
        <v>0</v>
      </c>
      <c r="D5" s="116">
        <f t="shared" si="0"/>
        <v>0</v>
      </c>
      <c r="E5" s="116">
        <f t="shared" si="0"/>
        <v>0</v>
      </c>
    </row>
    <row r="6" spans="2:7">
      <c r="B6" s="3" t="s">
        <v>265</v>
      </c>
      <c r="C6" s="116">
        <f>'Participant 1'!$C$7</f>
        <v>0</v>
      </c>
      <c r="D6" s="116">
        <f>'Participant 2'!$C$7</f>
        <v>0</v>
      </c>
      <c r="E6" s="116"/>
    </row>
    <row r="7" spans="2:7">
      <c r="B7" s="3" t="str">
        <f>CONCATENATE(IF('Date generale'!C24="DA","Plafon indemnizație ","Indemnizație "),"cazare/noapte - ",'Participant 1'!C8," pentru ",'Date generale'!C22," - ",'Participant 1'!C9)</f>
        <v xml:space="preserve">Indemnizație cazare/noapte -  pentru  - </v>
      </c>
      <c r="C7" s="6">
        <f>VLOOKUP($C$4,Liste!$C$17:$H$183,4+IF(C6="Categoria II",2,0))</f>
        <v>0</v>
      </c>
      <c r="D7" s="6">
        <f>VLOOKUP($D$4,Liste!$C$17:$H$183,4+IF(D6="Categoria II",2,0))</f>
        <v>0</v>
      </c>
      <c r="E7" s="6"/>
    </row>
    <row r="8" spans="2:7">
      <c r="B8" s="3" t="str">
        <f>CONCATENATE("Nivel diurnă/zi - ",'Participant 1'!C9," pentru ",'Date generale'!C22," - ",'Participant 1'!C10)</f>
        <v xml:space="preserve">Nivel diurnă/zi -  pentru  - </v>
      </c>
      <c r="C8" s="6">
        <f>VLOOKUP($C$4,Liste!$C$17:$H$183,3+IF(C6="Categoria II",2,0))</f>
        <v>0</v>
      </c>
      <c r="D8" s="6">
        <f>VLOOKUP($D$4,Liste!$C$17:$H$183,3+IF(D6="Categoria II",2,0))</f>
        <v>0</v>
      </c>
      <c r="E8" s="6"/>
    </row>
    <row r="9" spans="2:7">
      <c r="B9" s="29"/>
      <c r="C9" s="6"/>
      <c r="D9" s="6"/>
      <c r="E9" s="6"/>
    </row>
    <row r="10" spans="2:7">
      <c r="B10" s="1" t="str">
        <f>'Participant 1'!B13</f>
        <v>Data și ora plecării în delegație</v>
      </c>
      <c r="C10" s="53" t="str">
        <f>IF('Participant 1'!$C$13&lt;&gt;"",'Participant 1'!$C$13,"")</f>
        <v/>
      </c>
      <c r="D10" s="53" t="str">
        <f>IF('Participant 2'!$C$13&lt;&gt;"",'Participant 2'!$C$13,"")</f>
        <v/>
      </c>
      <c r="E10" s="53"/>
      <c r="G10" s="114"/>
    </row>
    <row r="11" spans="2:7">
      <c r="B11" s="1" t="str">
        <f>'Participant 1'!B14</f>
        <v>Data și ora întoarcerii din delegație</v>
      </c>
      <c r="C11" s="53" t="str">
        <f>IF('Participant 1'!$C$14&lt;&gt;"",'Participant 1'!$C$14,"")</f>
        <v/>
      </c>
      <c r="D11" s="53" t="str">
        <f>IF('Participant 2'!$C$14&lt;&gt;"",'Participant 2'!$C$14,"")</f>
        <v/>
      </c>
      <c r="E11" s="53"/>
      <c r="G11" s="114"/>
    </row>
    <row r="12" spans="2:7">
      <c r="B12" s="1" t="str">
        <f>'Participant 1'!B16</f>
        <v>Data și ora ieșirii din România</v>
      </c>
      <c r="C12" s="53" t="str">
        <f>IF('Participant 1'!$C$16&lt;&gt;"",'Participant 1'!$C$16,"")</f>
        <v/>
      </c>
      <c r="D12" s="53" t="str">
        <f>IF('Participant 2'!$C$16&lt;&gt;"",'Participant 2'!$C$16,"")</f>
        <v/>
      </c>
      <c r="E12" s="53"/>
      <c r="G12" s="114"/>
    </row>
    <row r="13" spans="2:7">
      <c r="B13" s="1" t="str">
        <f>'Participant 1'!B17</f>
        <v>Data și ora întoarcerii în România</v>
      </c>
      <c r="C13" s="53" t="str">
        <f>IF('Participant 1'!$C$17&lt;&gt;"",'Participant 1'!$C$17,"")</f>
        <v/>
      </c>
      <c r="D13" s="53" t="str">
        <f>IF('Participant 2'!$C$17&lt;&gt;"",'Participant 2'!$C$17,"")</f>
        <v/>
      </c>
      <c r="E13" s="53"/>
      <c r="G13" s="114"/>
    </row>
    <row r="14" spans="2:7">
      <c r="B14" s="43" t="s">
        <v>270</v>
      </c>
      <c r="C14" s="54" t="str">
        <f>IF('Participant 1'!$C$18&lt;&gt;"",'Participant 1'!$C$18,"")</f>
        <v/>
      </c>
      <c r="D14" s="54" t="str">
        <f>IF('Participant 2'!$C$18&lt;&gt;"",'Participant 2'!$C$18,"")</f>
        <v/>
      </c>
      <c r="E14" s="54"/>
    </row>
    <row r="15" spans="2:7" ht="28.8">
      <c r="B15" s="39" t="s">
        <v>271</v>
      </c>
      <c r="C15" s="55" t="b">
        <f>IF(AND(ISNUMBER(C11),ISNUMBER(C14)),IF(AND(YEAR(C11)=YEAR(C14),MONTH(C11)=MONTH(C14),DAY(C11)=DAY(C14)),TRUE,FALSE),FALSE)</f>
        <v>0</v>
      </c>
      <c r="D15" s="55" t="b">
        <f>IF(AND(ISNUMBER(D11),ISNUMBER(D14)),IF(AND(YEAR(D11)=YEAR(D14),MONTH(D11)=MONTH(D14),DAY(D11)=DAY(D14)),TRUE,FALSE),FALSE)</f>
        <v>0</v>
      </c>
      <c r="E15" s="55"/>
    </row>
    <row r="16" spans="2:7">
      <c r="B16" s="37" t="s">
        <v>269</v>
      </c>
      <c r="C16" s="56" t="str">
        <f>CONCATENATE(IF(AND(ISNUMBER(C11),ISNUMBER(C14)),IF(AND(C14&lt;C11,NOT(C15)),"Anterior finalului delegației?",""),""))</f>
        <v/>
      </c>
      <c r="D16" s="56" t="str">
        <f>CONCATENATE(IF(AND(ISNUMBER(D11),ISNUMBER(D14)),IF(AND(D14&lt;D11,NOT(D15)),"Anterior finalului delegației?",""),""))</f>
        <v/>
      </c>
      <c r="E16" s="56"/>
    </row>
    <row r="17" spans="2:5">
      <c r="B17" s="37" t="s">
        <v>291</v>
      </c>
      <c r="C17" s="113">
        <f>IF(AND(ISNUMBER(C12),ISNUMBER(C13)),24*60*(C13-C12),0)</f>
        <v>0</v>
      </c>
      <c r="D17" s="57">
        <f>IF(AND(ISNUMBER(D12),ISNUMBER(D13)),24*60*(D13-D12),0)</f>
        <v>0</v>
      </c>
      <c r="E17" s="57"/>
    </row>
    <row r="18" spans="2:5" ht="15" thickBot="1">
      <c r="B18" s="38" t="s">
        <v>292</v>
      </c>
      <c r="C18" s="58">
        <f>ROUNDUP(C17/(12*60),0)</f>
        <v>0</v>
      </c>
      <c r="D18" s="58">
        <f>ROUNDUP(D17/(12*60),0)</f>
        <v>0</v>
      </c>
      <c r="E18" s="58"/>
    </row>
    <row r="19" spans="2:5" ht="15" thickTop="1">
      <c r="B19" s="37" t="s">
        <v>46</v>
      </c>
      <c r="C19" s="100">
        <f>IF('Date generale'!$C$20="DA",1,0)*C18*IF('Participant 1'!$C$10&lt;&gt;"",'Participant 1'!$C$10/2,0)</f>
        <v>0</v>
      </c>
      <c r="D19" s="100">
        <f>IF('Date generale'!$C$20="DA",1,0)*D18*IF('Participant 2'!$C$10&lt;&gt;"",'Participant 2'!$C$10/2,0)</f>
        <v>0</v>
      </c>
      <c r="E19" s="57"/>
    </row>
    <row r="20" spans="2:5">
      <c r="B20" s="37" t="s">
        <v>255</v>
      </c>
      <c r="C20" s="57" t="str">
        <f>IF(AND(ISNUMBER(C10),ISNUMBER(C12)),IF(C12&lt;C10,"Anterior începutului delegației?",""),"")</f>
        <v/>
      </c>
      <c r="D20" s="57" t="str">
        <f>IF(AND(ISNUMBER(D10),ISNUMBER(D12)),IF(D12&lt;D10,"Anterior începutului delegației?",""),"")</f>
        <v/>
      </c>
      <c r="E20" s="57"/>
    </row>
    <row r="21" spans="2:5">
      <c r="B21" s="37" t="s">
        <v>256</v>
      </c>
      <c r="C21" s="57" t="str">
        <f>IF(AND(ISNUMBER(C11),ISNUMBER(C13)),IF(C13&gt;C11,"Ulterior finalului delegației?",""),"")</f>
        <v/>
      </c>
      <c r="D21" s="57" t="str">
        <f>IF(AND(ISNUMBER(D11),ISNUMBER(D13)),IF(D13&gt;D11,"Ulterior finalului delegației?",""),"")</f>
        <v/>
      </c>
      <c r="E21" s="57"/>
    </row>
    <row r="22" spans="2:5" ht="15" thickBot="1">
      <c r="B22" s="38" t="s">
        <v>240</v>
      </c>
      <c r="C22" s="58" t="str">
        <f>IF(C19&lt;&gt;0,IF(OR('Participant 1'!$C$55/C19&lt;&gt;INT('Participant 1'!$C$55/C19),'Participant 1'!$C$55&gt;C19),CONCATENATE("Val. calculată =",C19),""),"")</f>
        <v/>
      </c>
      <c r="D22" s="58" t="str">
        <f>IF(D19&lt;&gt;0,IF(OR('Participant 2'!$C$55/D19&lt;&gt;INT('Participant 2'!$C$55/D19),'Participant 2'!$C$55&gt;D19),CONCATENATE("Val. calculată =",D19),""),"")</f>
        <v/>
      </c>
      <c r="E22" s="58"/>
    </row>
    <row r="23" spans="2:5" ht="15" thickTop="1">
      <c r="B23" s="37" t="s">
        <v>254</v>
      </c>
      <c r="C23" s="57">
        <f>IF(AND(ISNUMBER(C12),ISNUMBER(C13)),_xlfn.DAYS(C13,C12),0)</f>
        <v>0</v>
      </c>
      <c r="D23" s="57">
        <f>IF(AND(ISNUMBER(D12),ISNUMBER(D13)),_xlfn.DAYS(D13,D12),0)</f>
        <v>0</v>
      </c>
      <c r="E23" s="57"/>
    </row>
    <row r="24" spans="2:5">
      <c r="B24" s="2" t="s">
        <v>47</v>
      </c>
      <c r="C24" s="6">
        <f>C23*IF('Participant 1'!$C$9&lt;&gt;"",'Participant 1'!$C$9,0)</f>
        <v>0</v>
      </c>
      <c r="D24" s="6">
        <f>D23*IF('Participant 1'!$C$9&lt;&gt;"",'Participant 1'!$C$9,0)</f>
        <v>0</v>
      </c>
      <c r="E24" s="6"/>
    </row>
    <row r="25" spans="2:5" ht="15" thickBot="1">
      <c r="B25" s="38" t="s">
        <v>48</v>
      </c>
      <c r="C25" s="58" t="str">
        <f>IF(C24&lt;&gt;0,IF(OR('Participant 1'!$C$56/C24&lt;&gt;INT('Participant 1'!$C$56/C24),'Participant 1'!$C$56&gt;C24),CONCATENATE("Val. calculată =",C24),""),"")</f>
        <v/>
      </c>
      <c r="D25" s="58" t="str">
        <f>IF(D24&lt;&gt;0,IF(OR('Participant 2'!$C$56/D24&lt;&gt;INT('Participant 2'!$C$56/D24),'Participant 2'!$C$56&gt;D24),CONCATENATE("Val. calculată =",D24),""),"")</f>
        <v/>
      </c>
      <c r="E25" s="58"/>
    </row>
    <row r="26" spans="2:5" ht="29.4" thickTop="1">
      <c r="B26" s="37" t="s">
        <v>293</v>
      </c>
      <c r="C26" s="57">
        <f>IF(AND(ISNUMBER(C10),ISNUMBER(C12)),24*60*(C12-C10),0)</f>
        <v>0</v>
      </c>
      <c r="D26" s="57">
        <f>IF(AND(ISNUMBER(D10),ISNUMBER(D12)),24*60*(D12-D10),0)</f>
        <v>0</v>
      </c>
      <c r="E26" s="57">
        <f>IF(AND(ISNUMBER(E10),ISNUMBER(E12)),24*60*(E12-E10),0)</f>
        <v>0</v>
      </c>
    </row>
    <row r="27" spans="2:5" ht="28.8">
      <c r="B27" s="37" t="s">
        <v>294</v>
      </c>
      <c r="C27" s="6">
        <f>IF(AND(ISNUMBER(C11),ISNUMBER(C13)),24*60*(C11-C13),0)</f>
        <v>0</v>
      </c>
      <c r="D27" s="6">
        <f>IF(AND(ISNUMBER(D11),ISNUMBER(D13)),24*60*(D11-D13),0)</f>
        <v>0</v>
      </c>
      <c r="E27" s="6">
        <f>IF(AND(ISNUMBER(E11),ISNUMBER(E13)),24*60*(E11-E13),0)</f>
        <v>0</v>
      </c>
    </row>
    <row r="28" spans="2:5">
      <c r="B28" s="37" t="s">
        <v>295</v>
      </c>
      <c r="C28" s="6">
        <f>IF(AND(ISNUMBER(C10),ISNUMBER(C12)),24*60*(C12-C10),0)+IF(AND(ISNUMBER(C11),ISNUMBER(C13)),24*60*(C11-C13),0)</f>
        <v>0</v>
      </c>
      <c r="D28" s="6">
        <f>IF(AND(ISNUMBER(D10),ISNUMBER(D12)),24*60*(D12-D10),0)+IF(AND(ISNUMBER(D11),ISNUMBER(D13)),24*60*(D11-D13),0)</f>
        <v>0</v>
      </c>
      <c r="E28" s="6">
        <f>IF(AND(ISNUMBER(E10),ISNUMBER(E12)),24*60*(E12-E10),0)+IF(AND(ISNUMBER(E11),ISNUMBER(E13)),24*60*(E11-E13),0)</f>
        <v>0</v>
      </c>
    </row>
    <row r="29" spans="2:5" ht="28.8">
      <c r="B29" s="37" t="s">
        <v>296</v>
      </c>
      <c r="C29" s="6">
        <f t="shared" ref="C29:E30" si="1">IF(C26&gt;12*60,INT(C26/(24*60))+IF(MOD(C26,24*60)&gt;=12*60,1,0),0)</f>
        <v>0</v>
      </c>
      <c r="D29" s="6">
        <f t="shared" si="1"/>
        <v>0</v>
      </c>
      <c r="E29" s="6">
        <f t="shared" si="1"/>
        <v>0</v>
      </c>
    </row>
    <row r="30" spans="2:5" ht="28.8">
      <c r="B30" s="37" t="s">
        <v>298</v>
      </c>
      <c r="C30" s="6">
        <f t="shared" si="1"/>
        <v>0</v>
      </c>
      <c r="D30" s="6">
        <f t="shared" si="1"/>
        <v>0</v>
      </c>
      <c r="E30" s="6">
        <f t="shared" si="1"/>
        <v>0</v>
      </c>
    </row>
    <row r="31" spans="2:5" ht="43.2">
      <c r="B31" s="44" t="s">
        <v>297</v>
      </c>
      <c r="C31" s="6">
        <f>IF(AND(C26&lt;12*60,C27&lt;12*60),IF(MOD(C26,12*60)+MOD(C27,12*60)&gt;=12*60,1,0),0)</f>
        <v>0</v>
      </c>
      <c r="D31" s="6">
        <f>IF(AND(D26&lt;12*60,D27&lt;12*60),IF(MOD(D26,12*60)+MOD(D27,12*60)&gt;=12*60,1,0),0)</f>
        <v>0</v>
      </c>
      <c r="E31" s="6">
        <f>IF(AND(E26&lt;12*60,E27&lt;12*60),IF(MOD(E26,12*60)+MOD(E27,12*60)&gt;=12*60,1,0),0)</f>
        <v>0</v>
      </c>
    </row>
    <row r="32" spans="2:5">
      <c r="B32" s="46" t="s">
        <v>303</v>
      </c>
      <c r="C32" s="59">
        <f>SUM(C29:C31)*C3</f>
        <v>0</v>
      </c>
      <c r="D32" s="59">
        <f>SUM(D29:D31)*D3</f>
        <v>0</v>
      </c>
      <c r="E32" s="59">
        <f>SUM(E29:E31)*E3</f>
        <v>0</v>
      </c>
    </row>
    <row r="33" spans="2:5" ht="15" thickBot="1">
      <c r="B33" s="45" t="s">
        <v>300</v>
      </c>
      <c r="C33" s="58" t="str">
        <f>IF('Participant 1'!$C$62&gt;C32,CONCATENATE("Val. referință = ",C32, " lei"),"")</f>
        <v/>
      </c>
      <c r="D33" s="58" t="str">
        <f>IF('Participant 2'!$C$62&gt;D32,CONCATENATE("Val. referință = ",D32, " lei"),"")</f>
        <v/>
      </c>
      <c r="E33" s="58"/>
    </row>
    <row r="34" spans="2:5" ht="15" thickTop="1">
      <c r="B34" s="37" t="s">
        <v>289</v>
      </c>
      <c r="C34" s="57">
        <f>IF(AND(ISNUMBER(C12),ISNUMBER(C10)),_xlfn.DAYS(C12,C10),0)+IF(AND(ISNUMBER(C11),ISNUMBER(C13)),_xlfn.DAYS(C11,C13),0)</f>
        <v>0</v>
      </c>
      <c r="D34" s="57">
        <f>IF(AND(ISNUMBER(D12),ISNUMBER(D10)),_xlfn.DAYS(D12,D10),0)+IF(AND(ISNUMBER(D11),ISNUMBER(D13)),_xlfn.DAYS(D11,D13),0)</f>
        <v>0</v>
      </c>
      <c r="E34" s="57">
        <f>IF(AND(ISNUMBER(E12),ISNUMBER(E10)),_xlfn.DAYS(E12,E10),0)+IF(AND(ISNUMBER(E11),ISNUMBER(E13)),_xlfn.DAYS(E11,E13),0)</f>
        <v>0</v>
      </c>
    </row>
    <row r="35" spans="2:5">
      <c r="B35" s="2" t="s">
        <v>288</v>
      </c>
      <c r="C35" s="6">
        <f>C34*C2</f>
        <v>0</v>
      </c>
      <c r="D35" s="6">
        <f>D34*D2</f>
        <v>0</v>
      </c>
      <c r="E35" s="6">
        <f>E34*E2</f>
        <v>0</v>
      </c>
    </row>
    <row r="36" spans="2:5" ht="15" thickBot="1">
      <c r="B36" s="38" t="s">
        <v>299</v>
      </c>
      <c r="C36" s="60" t="str">
        <f>IF('Participant 1'!$C$63&gt;C35,CONCATENATE("Val. referință =",C35," lei"),"")</f>
        <v/>
      </c>
      <c r="D36" s="60" t="str">
        <f>IF('Participant 2'!$C$63&gt;D35,CONCATENATE("Val. referință =",D35," lei"),"")</f>
        <v/>
      </c>
      <c r="E36" s="60"/>
    </row>
    <row r="37" spans="2:5" ht="15" thickTop="1">
      <c r="B37" s="37" t="s">
        <v>325</v>
      </c>
      <c r="C37" s="100">
        <f>'Participant 1'!C69</f>
        <v>0</v>
      </c>
      <c r="D37" s="57">
        <f>'Participant 2'!C69</f>
        <v>0</v>
      </c>
      <c r="E37" s="57"/>
    </row>
    <row r="38" spans="2:5" ht="19.2" customHeight="1" thickBot="1">
      <c r="B38" s="38" t="s">
        <v>324</v>
      </c>
      <c r="C38" s="115">
        <f>INT(SUM(C7:C14)+C17+C37)</f>
        <v>0</v>
      </c>
      <c r="D38" s="115">
        <f>INT(SUM(D7:D14)+D17+D37)</f>
        <v>0</v>
      </c>
      <c r="E38" s="112"/>
    </row>
    <row r="39" spans="2:5" ht="15" thickTop="1">
      <c r="B39" s="4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34D1-D14D-492C-81D7-C32C6D0C998E}">
  <sheetPr codeName="Sheet6"/>
  <dimension ref="B2:I42"/>
  <sheetViews>
    <sheetView zoomScaleNormal="100" zoomScaleSheetLayoutView="115" workbookViewId="0">
      <selection activeCell="D35" sqref="D35"/>
    </sheetView>
  </sheetViews>
  <sheetFormatPr defaultRowHeight="13.8"/>
  <cols>
    <col min="1" max="1" width="1.6640625" style="34" customWidth="1"/>
    <col min="2" max="2" width="6.109375" style="34" customWidth="1"/>
    <col min="3" max="3" width="37.109375" style="34" customWidth="1"/>
    <col min="4" max="4" width="19.44140625" style="34" customWidth="1"/>
    <col min="5" max="5" width="26.77734375" style="34" customWidth="1"/>
    <col min="6" max="6" width="32.21875" style="34" customWidth="1"/>
    <col min="7" max="7" width="14.33203125" style="34" customWidth="1"/>
    <col min="8" max="8" width="8.44140625" style="34" customWidth="1"/>
    <col min="9" max="16384" width="8.88671875" style="34"/>
  </cols>
  <sheetData>
    <row r="2" spans="2:7" ht="90.6" customHeight="1">
      <c r="B2" s="170" t="s">
        <v>311</v>
      </c>
      <c r="C2" s="170"/>
      <c r="D2" s="170"/>
      <c r="E2" s="170"/>
      <c r="F2" s="149" t="str">
        <f>IF(TRIM(CONCATENATE(F36))&lt;&gt;"","Atenționări!","")</f>
        <v/>
      </c>
    </row>
    <row r="3" spans="2:7" ht="15.6">
      <c r="B3" s="147" t="str">
        <f>CONCATENATE("Acord parteneriat ")</f>
        <v xml:space="preserve">Acord parteneriat </v>
      </c>
      <c r="C3" s="147"/>
      <c r="D3" s="147" t="str">
        <f>CONCATENATE("",'Date generale'!C3)</f>
        <v/>
      </c>
      <c r="E3" s="147"/>
      <c r="F3" s="50"/>
    </row>
    <row r="4" spans="2:7" ht="7.8" customHeight="1">
      <c r="B4" s="131"/>
      <c r="C4" s="131"/>
      <c r="D4" s="131"/>
      <c r="E4" s="131"/>
    </row>
    <row r="5" spans="2:7" ht="16.2" customHeight="1">
      <c r="B5" s="8" t="str">
        <f>CONCATENATE("Partener (organizație participantă) ")</f>
        <v xml:space="preserve">Partener (organizație participantă) </v>
      </c>
      <c r="C5" s="31"/>
      <c r="D5" s="135" t="str">
        <f>CONCATENATE("",'Date generale'!C5)</f>
        <v/>
      </c>
      <c r="E5" s="31"/>
    </row>
    <row r="6" spans="2:7" ht="16.2" customHeight="1">
      <c r="B6" s="8" t="str">
        <f>'Date generale'!B6</f>
        <v>Cod unic de identificare (CUI)</v>
      </c>
      <c r="C6" s="31"/>
      <c r="D6" s="136" t="str">
        <f>CONCATENATE("",'Date generale'!C6)</f>
        <v/>
      </c>
      <c r="E6" s="31"/>
    </row>
    <row r="7" spans="2:7" ht="16.2" customHeight="1">
      <c r="B7" s="132" t="str">
        <f>'Date generale'!B7</f>
        <v>Sediul (localitatea)</v>
      </c>
      <c r="C7" s="131"/>
      <c r="D7" s="131" t="str">
        <f>CONCATENATE("",'Date generale'!C7)</f>
        <v/>
      </c>
      <c r="E7" s="131"/>
    </row>
    <row r="8" spans="2:7" ht="4.8" customHeight="1">
      <c r="B8" s="8"/>
      <c r="C8" s="31"/>
      <c r="D8" s="31"/>
      <c r="E8" s="31"/>
    </row>
    <row r="9" spans="2:7" ht="28.2" customHeight="1">
      <c r="B9" s="8" t="str">
        <f>'Date generale'!B15</f>
        <v>Denumire activitate de instruire</v>
      </c>
      <c r="C9" s="31"/>
      <c r="D9" s="168" t="str">
        <f>CONCATENATE("",'Date generale'!C15)</f>
        <v/>
      </c>
      <c r="E9" s="168"/>
    </row>
    <row r="10" spans="2:7" ht="30.6" customHeight="1">
      <c r="B10" s="8" t="str">
        <f>'Date generale'!B16</f>
        <v>Furnizor formare</v>
      </c>
      <c r="C10" s="31"/>
      <c r="D10" s="168" t="str">
        <f>CONCATENATE("",'Date generale'!C16)</f>
        <v/>
      </c>
      <c r="E10" s="168"/>
    </row>
    <row r="11" spans="2:7" ht="19.2" customHeight="1">
      <c r="B11" s="8" t="str">
        <f>'Date generale'!B21</f>
        <v>Localitatea</v>
      </c>
      <c r="C11" s="31"/>
      <c r="D11" s="172" t="str">
        <f>CONCATENATE('Date generale'!C21," - ",'Date generale'!C22)</f>
        <v xml:space="preserve"> - </v>
      </c>
      <c r="E11" s="172"/>
    </row>
    <row r="12" spans="2:7" ht="19.2" customHeight="1">
      <c r="B12" s="8" t="str">
        <f>'Date generale'!B17</f>
        <v>Perioada de desfășurare</v>
      </c>
      <c r="C12" s="31"/>
      <c r="D12" s="31" t="str">
        <f>CONCATENATE("",'Date generale'!C17)</f>
        <v/>
      </c>
      <c r="E12" s="31"/>
    </row>
    <row r="13" spans="2:7" ht="19.2" customHeight="1">
      <c r="B13" s="8" t="str">
        <f>'Date generale'!B18</f>
        <v>Prioritatea (PR Nord-Est 2021-2027)</v>
      </c>
      <c r="C13" s="31"/>
      <c r="D13" s="31" t="str">
        <f>CONCATENATE("",'Date generale'!C18)</f>
        <v/>
      </c>
      <c r="E13" s="31"/>
    </row>
    <row r="14" spans="2:7" ht="51" customHeight="1">
      <c r="B14" s="173" t="str">
        <f>CONCATENATE('Date generale'!B19," ")</f>
        <v xml:space="preserve">Domeniu de intervenție </v>
      </c>
      <c r="C14" s="173"/>
      <c r="D14" s="174" t="str">
        <f>CONCATENATE("",'Date generale'!C19)</f>
        <v>170 - Îmbunătățirea capacității autorităților responsabile de programe și a organismelor implicate în execuția fondurilor</v>
      </c>
      <c r="E14" s="174"/>
      <c r="F14" s="48"/>
      <c r="G14" s="48"/>
    </row>
    <row r="15" spans="2:7" ht="57.6" customHeight="1">
      <c r="B15" s="168" t="str">
        <f>CONCATENATE("Între ",'Date generale'!C5," și ADR Nord-Est a fost încheiat acordul de parteneriat ",'Date generale'!C3, " pentru participarea la activitatea de instruire/formare susținută de către ",'Date generale'!C16," în perioada ",'Date generale'!C17," în localitatea ",'Date generale'!C21," din ",'Date generale'!C22)</f>
        <v xml:space="preserve">Între  și ADR Nord-Est a fost încheiat acordul de parteneriat  pentru participarea la activitatea de instruire/formare susținută de către  în perioada  în localitatea  din </v>
      </c>
      <c r="C15" s="168"/>
      <c r="D15" s="168"/>
      <c r="E15" s="168"/>
      <c r="F15" s="102"/>
      <c r="G15" s="102"/>
    </row>
    <row r="16" spans="2:7" ht="7.2" customHeight="1">
      <c r="B16" s="31"/>
      <c r="C16" s="31"/>
      <c r="D16" s="31"/>
      <c r="E16" s="31"/>
    </row>
    <row r="17" spans="2:9">
      <c r="B17" s="31" t="str">
        <f>CONCATENATE("Din partea partenerului ",'Date generale'!C5," a/au participat:")</f>
        <v>Din partea partenerului  a/au participat:</v>
      </c>
      <c r="C17" s="31"/>
      <c r="D17" s="31"/>
      <c r="E17" s="31"/>
    </row>
    <row r="18" spans="2:9">
      <c r="B18" s="71" t="str">
        <f>CONCATENATE("  - ",'Date generale'!C12)</f>
        <v xml:space="preserve">  - </v>
      </c>
      <c r="C18" s="101"/>
      <c r="D18" s="101"/>
      <c r="E18" s="31"/>
    </row>
    <row r="19" spans="2:9">
      <c r="B19" s="71" t="str">
        <f>CONCATENATE(IF('Date generale'!C13&lt;&gt;"-","  - ",""),IF('Date generale'!C13&lt;&gt;"-",'Date generale'!C13,""))</f>
        <v xml:space="preserve">  - </v>
      </c>
      <c r="C19" s="101"/>
      <c r="D19" s="101"/>
      <c r="E19" s="31"/>
    </row>
    <row r="20" spans="2:9" ht="12" customHeight="1">
      <c r="B20" s="31"/>
      <c r="C20" s="31"/>
      <c r="D20" s="31"/>
      <c r="E20" s="31"/>
    </row>
    <row r="21" spans="2:9" ht="57.6" customHeight="1">
      <c r="B21" s="171" t="str">
        <f>CONCATENATE("În conformitate cu prevederile acordului de parteneriat solicităm decontarea cheltuielilor efectuate în sumă totală de ",'Participant 1'!C69+'Participant 2'!C69," lei, din care: ",IF('Participant 1'!C69&gt;0,CONCATENATE('Participant 1'!C69," lei, conform ",'Participant 1'!A4),""),IF('Participant 2'!C69&gt;0,CONCATENATE(IF('Participant 1'!C69&gt;0," și ",""),'Participant 2'!C69," lei, conform ",'Participant 2'!A4),""),".")</f>
        <v>În conformitate cu prevederile acordului de parteneriat solicităm decontarea cheltuielilor efectuate în sumă totală de 0 lei, din care: .</v>
      </c>
      <c r="C21" s="171"/>
      <c r="D21" s="171"/>
      <c r="E21" s="171"/>
      <c r="F21" s="48"/>
    </row>
    <row r="22" spans="2:9" ht="15.6" customHeight="1">
      <c r="B22" s="36"/>
      <c r="C22" s="31"/>
      <c r="D22" s="31"/>
      <c r="E22" s="31"/>
    </row>
    <row r="23" spans="2:9" ht="41.4" customHeight="1">
      <c r="B23" s="168" t="s">
        <v>362</v>
      </c>
      <c r="C23" s="168"/>
      <c r="D23" s="168"/>
      <c r="E23" s="168"/>
      <c r="F23" s="36"/>
    </row>
    <row r="24" spans="2:9" ht="58.2" customHeight="1">
      <c r="B24" s="169" t="str">
        <f>CONCATENATE('Date generale'!C5,", partener în cadrul Acordului de parteneriat ",'Date generale'!C3," este obligat să prezinte și/sau să pună la dispoziție autorităților competente toate documentele justificative în legătură cu acordul de parteneriat.")</f>
        <v>, partener în cadrul Acordului de parteneriat  este obligat să prezinte și/sau să pună la dispoziție autorităților competente toate documentele justificative în legătură cu acordul de parteneriat.</v>
      </c>
      <c r="C24" s="169"/>
      <c r="D24" s="169"/>
      <c r="E24" s="169"/>
      <c r="F24" s="106"/>
      <c r="G24" s="48"/>
      <c r="H24" s="48"/>
    </row>
    <row r="25" spans="2:9" ht="70.8" customHeight="1">
      <c r="B25" s="169" t="str">
        <f>CONCATENATE("Această obligație va fi menținută până la termenul de 5 ani de la data plății finale aferente contractului de finanțare în cadrul căruia vor fi decontate cheltuielile care fac obiectul acestui decont. În acest sens, ADR Nord-Est va informa ",'Date generale'!C5," asupra datei de la care curge termenul, în termen de 30 zile de la data plății finale.")</f>
        <v>Această obligație va fi menținută până la termenul de 5 ani de la data plății finale aferente contractului de finanțare în cadrul căruia vor fi decontate cheltuielile care fac obiectul acestui decont. În acest sens, ADR Nord-Est va informa  asupra datei de la care curge termenul, în termen de 30 zile de la data plății finale.</v>
      </c>
      <c r="C25" s="169"/>
      <c r="D25" s="169"/>
      <c r="E25" s="169"/>
      <c r="F25" s="106"/>
      <c r="G25" s="48"/>
      <c r="H25" s="48"/>
    </row>
    <row r="26" spans="2:9" ht="58.8" customHeight="1">
      <c r="B26" s="168" t="s">
        <v>36</v>
      </c>
      <c r="C26" s="168"/>
      <c r="D26" s="168"/>
      <c r="E26" s="168"/>
      <c r="F26" s="36"/>
      <c r="G26" s="36"/>
      <c r="H26" s="36"/>
    </row>
    <row r="27" spans="2:9" ht="49.8" customHeight="1">
      <c r="B27" s="168" t="s">
        <v>37</v>
      </c>
      <c r="C27" s="168"/>
      <c r="D27" s="168"/>
      <c r="E27" s="168"/>
      <c r="F27" s="36"/>
      <c r="G27" s="36"/>
      <c r="H27" s="36"/>
    </row>
    <row r="28" spans="2:9" ht="29.4" customHeight="1">
      <c r="B28" s="168" t="s">
        <v>38</v>
      </c>
      <c r="C28" s="168"/>
      <c r="D28" s="168"/>
      <c r="E28" s="168"/>
      <c r="F28" s="36"/>
      <c r="G28" s="36"/>
      <c r="H28" s="36"/>
    </row>
    <row r="29" spans="2:9">
      <c r="B29" s="49"/>
      <c r="C29" s="49"/>
      <c r="D29" s="49"/>
      <c r="E29" s="49"/>
      <c r="F29" s="49"/>
      <c r="G29" s="49"/>
      <c r="H29" s="49"/>
    </row>
    <row r="30" spans="2:9">
      <c r="B30" s="31" t="s">
        <v>42</v>
      </c>
      <c r="C30" s="31"/>
      <c r="D30" s="49"/>
      <c r="E30" s="49"/>
      <c r="F30" s="49"/>
      <c r="G30" s="49"/>
      <c r="H30" s="49"/>
    </row>
    <row r="31" spans="2:9" ht="18" customHeight="1">
      <c r="B31" s="31"/>
      <c r="C31" s="71" t="s">
        <v>356</v>
      </c>
      <c r="D31" s="141" t="str">
        <f>IF('Date generale'!C5&lt;&gt;"",'Date generale'!C5,"")</f>
        <v/>
      </c>
      <c r="E31" s="117"/>
      <c r="F31" s="49"/>
      <c r="G31" s="49"/>
      <c r="H31" s="49"/>
      <c r="I31" s="49"/>
    </row>
    <row r="32" spans="2:9" ht="18" customHeight="1">
      <c r="B32" s="31"/>
      <c r="C32" s="71" t="s">
        <v>40</v>
      </c>
      <c r="D32" s="141" t="str">
        <f>IF('Date generale'!C6&lt;&gt;"",'Date generale'!C6,"")</f>
        <v/>
      </c>
      <c r="E32" s="117"/>
      <c r="F32" s="49"/>
      <c r="G32" s="49"/>
      <c r="H32" s="49"/>
      <c r="I32" s="49"/>
    </row>
    <row r="33" spans="2:9">
      <c r="B33" s="31"/>
      <c r="C33" s="143" t="s">
        <v>41</v>
      </c>
      <c r="D33" s="143" t="s">
        <v>336</v>
      </c>
      <c r="E33" s="133"/>
      <c r="F33" s="49"/>
      <c r="G33" s="49"/>
      <c r="H33" s="49"/>
      <c r="I33" s="49"/>
    </row>
    <row r="34" spans="2:9">
      <c r="B34" s="31"/>
      <c r="C34" s="142" t="str">
        <f>CONCATENATE("",'Date generale'!C9)</f>
        <v/>
      </c>
      <c r="D34" s="148"/>
      <c r="E34" s="117"/>
      <c r="F34" s="49"/>
      <c r="G34" s="49"/>
      <c r="H34" s="49"/>
      <c r="I34" s="49"/>
    </row>
    <row r="35" spans="2:9">
      <c r="B35" s="31"/>
      <c r="C35" s="142" t="str">
        <f>CONCATENATE("",'Date generale'!C10)</f>
        <v/>
      </c>
      <c r="D35" s="148"/>
      <c r="E35" s="104"/>
      <c r="F35" s="49"/>
      <c r="G35" s="49"/>
      <c r="H35" s="49"/>
      <c r="I35" s="49"/>
    </row>
    <row r="36" spans="2:9">
      <c r="B36" s="31"/>
      <c r="C36" s="145" t="str">
        <f>CONCATENATE("Total",IF('Participant 1'!C69+'Participant 2'!C69=D36," (=total deconturi)",""))</f>
        <v>Total (=total deconturi)</v>
      </c>
      <c r="D36" s="144">
        <f>SUM(D34:D35)</f>
        <v>0</v>
      </c>
      <c r="E36" s="105"/>
      <c r="F36" s="150" t="str">
        <f>IF(D36&lt;&gt;'Participant 1'!C69+'Participant 2'!C69,CONCATENATE("Total = ",'Participant 1'!C69+'Participant 2'!C69),"")</f>
        <v/>
      </c>
    </row>
    <row r="37" spans="2:9">
      <c r="B37" s="31"/>
      <c r="C37" s="134"/>
      <c r="D37" s="151"/>
      <c r="E37" s="31"/>
    </row>
    <row r="38" spans="2:9">
      <c r="B38" s="31"/>
      <c r="C38" s="134"/>
      <c r="D38" s="31"/>
      <c r="E38" s="31"/>
    </row>
    <row r="39" spans="2:9">
      <c r="B39" s="31"/>
      <c r="C39" s="31"/>
      <c r="D39" s="31"/>
      <c r="E39" s="31"/>
    </row>
    <row r="40" spans="2:9">
      <c r="B40" s="31"/>
      <c r="C40" s="31"/>
      <c r="D40" s="31"/>
      <c r="E40" s="31"/>
    </row>
    <row r="41" spans="2:9">
      <c r="B41" s="8" t="s">
        <v>39</v>
      </c>
      <c r="C41" s="31"/>
      <c r="D41" s="31"/>
      <c r="E41" s="31"/>
    </row>
    <row r="42" spans="2:9">
      <c r="B42" s="8" t="str">
        <f>CONCATENATE("",'Date generale'!C8)</f>
        <v/>
      </c>
      <c r="C42" s="31"/>
      <c r="D42" s="31"/>
      <c r="E42" s="31"/>
    </row>
  </sheetData>
  <sheetProtection algorithmName="SHA-512" hashValue="Hr6C6KP601a8XhcuFsUIUf9FuK66TzEheLzQY+W6+NuB5ItJiQ/JDkuiAjOAjhLy1XQQMspHBQ/LZur0ftVD9Q==" saltValue="olyjkQqfe1D1rRRRe4WJ/A==" spinCount="100000" sheet="1" selectLockedCells="1"/>
  <mergeCells count="14">
    <mergeCell ref="B2:E2"/>
    <mergeCell ref="B15:E15"/>
    <mergeCell ref="B21:E21"/>
    <mergeCell ref="D9:E9"/>
    <mergeCell ref="D10:E10"/>
    <mergeCell ref="D11:E11"/>
    <mergeCell ref="B14:C14"/>
    <mergeCell ref="D14:E14"/>
    <mergeCell ref="B28:E28"/>
    <mergeCell ref="B23:E23"/>
    <mergeCell ref="B24:E24"/>
    <mergeCell ref="B25:E25"/>
    <mergeCell ref="B26:E26"/>
    <mergeCell ref="B27:E2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4</vt:i4>
      </vt:variant>
    </vt:vector>
  </HeadingPairs>
  <TitlesOfParts>
    <vt:vector size="11" baseType="lpstr">
      <vt:lpstr>Instructiuni</vt:lpstr>
      <vt:lpstr>Date generale</vt:lpstr>
      <vt:lpstr>Participant 1</vt:lpstr>
      <vt:lpstr>Participant 2</vt:lpstr>
      <vt:lpstr>Liste</vt:lpstr>
      <vt:lpstr>Calcule</vt:lpstr>
      <vt:lpstr>Decont</vt:lpstr>
      <vt:lpstr>'Date generale'!Zona_de_imprimat</vt:lpstr>
      <vt:lpstr>Decont!Zona_de_imprimat</vt:lpstr>
      <vt:lpstr>'Participant 1'!Zona_de_imprimat</vt:lpstr>
      <vt:lpstr>'Participant 2'!Zona_de_imprimat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Nelia Negru</dc:creator>
  <cp:lastModifiedBy>Nicolaie Burghelea</cp:lastModifiedBy>
  <cp:lastPrinted>2024-03-22T05:31:18Z</cp:lastPrinted>
  <dcterms:created xsi:type="dcterms:W3CDTF">2015-06-05T18:17:20Z</dcterms:created>
  <dcterms:modified xsi:type="dcterms:W3CDTF">2024-03-22T13:01:28Z</dcterms:modified>
</cp:coreProperties>
</file>